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0" windowWidth="16380" windowHeight="8190" tabRatio="500" activeTab="5"/>
  </bookViews>
  <sheets>
    <sheet name="Orçamento" sheetId="1" r:id="rId1"/>
    <sheet name="Encargos Sociais" sheetId="2" r:id="rId2"/>
    <sheet name="Composições" sheetId="3" r:id="rId3"/>
    <sheet name="Composições Elétricas" sheetId="4" r:id="rId4"/>
    <sheet name="Cálculo BDI" sheetId="5" r:id="rId5"/>
    <sheet name="Cronograma" sheetId="6" r:id="rId6"/>
  </sheets>
  <definedNames>
    <definedName name="_xlnm.Print_Area" localSheetId="4">'Cálculo BDI'!$A$1:$O$42</definedName>
    <definedName name="_xlnm.Print_Area" localSheetId="5">'Cronograma'!$A$1:$J$26</definedName>
    <definedName name="_xlnm.Print_Area" localSheetId="0">'Orçamento'!$A$1:$H$231</definedName>
  </definedNames>
  <calcPr calcId="125725"/>
  <extLst/>
</workbook>
</file>

<file path=xl/sharedStrings.xml><?xml version="1.0" encoding="utf-8"?>
<sst xmlns="http://schemas.openxmlformats.org/spreadsheetml/2006/main" count="3524" uniqueCount="776">
  <si>
    <t>FUNDAÇÃO HOSPITALAR GETÚLIO VARGAS</t>
  </si>
  <si>
    <t>PLANILHA ORÇAMENTÁRIA</t>
  </si>
  <si>
    <t>Obra.: REFORMA DO CME DO HOSPITAL GETÚLIO VARGAS</t>
  </si>
  <si>
    <t>Endereço: Rua Pinheiro Machado, 331 - Bairro Dihel - Sapucaia do Sul/RS</t>
  </si>
  <si>
    <t>Área de Intervenção: 231,1m²</t>
  </si>
  <si>
    <t xml:space="preserve">Data proposta 20/04/22                   BDI: 27,71% incluso nos valores                         </t>
  </si>
  <si>
    <t>Item</t>
  </si>
  <si>
    <t>Código</t>
  </si>
  <si>
    <t>Descrição</t>
  </si>
  <si>
    <t>Quantidade Contrato</t>
  </si>
  <si>
    <t>Un</t>
  </si>
  <si>
    <t>Vlr. Unitário</t>
  </si>
  <si>
    <t>Unit. Contrato c/ BDI</t>
  </si>
  <si>
    <t>Total contrato (c/BDI)</t>
  </si>
  <si>
    <t>SERVIÇOS INICIAIS</t>
  </si>
  <si>
    <t>1.1</t>
  </si>
  <si>
    <t>TAPUME COM TELHA METÁLICA. AF_05/2018</t>
  </si>
  <si>
    <t>M2</t>
  </si>
  <si>
    <t xml:space="preserve">                                                     Total do Grupo</t>
  </si>
  <si>
    <t>DEMOLIÇÕES</t>
  </si>
  <si>
    <t>2.1</t>
  </si>
  <si>
    <t>DEMOLIÇÃO DE ALVENARIA DE TIJOLO MACIÇO, DE FORMA MANUAL, SEM REAPROVEITAMENTO. AF_12/2017</t>
  </si>
  <si>
    <t>M3</t>
  </si>
  <si>
    <t>2.2</t>
  </si>
  <si>
    <t>97634</t>
  </si>
  <si>
    <t>DEMOLIÇÃO DE REVESTIMENTO CERÂMICO, DE FORMA MECANIZADA COM MARTELETE, SEM REAPROVEITAMENTO. AF_12/2017</t>
  </si>
  <si>
    <t>2.3</t>
  </si>
  <si>
    <t>97637</t>
  </si>
  <si>
    <t>REMOÇÃO DE TAPUME/ CHAPAS METÁLICAS E DE MADEIRA, DE FORMA MANUAL, SEM REAPROVEITAMENTO. AF_12/2017</t>
  </si>
  <si>
    <t>2.4</t>
  </si>
  <si>
    <t>97647</t>
  </si>
  <si>
    <t>REMOÇÃO DE TELHAS, DE FIBROCIMENTO, METÁLICA E CERÂMICA, DE FORMA MANUAL, SEM REAPROVEITAMENTO. AF_12/2017</t>
  </si>
  <si>
    <t>2.5</t>
  </si>
  <si>
    <t>97650</t>
  </si>
  <si>
    <t>REMOÇÃO DE TRAMA DE MADEIRA PARA COBERTURA, DE FORMA MANUAL, SEM REAPROVEITAMENTO. AF_12/2017</t>
  </si>
  <si>
    <t>2.6</t>
  </si>
  <si>
    <t>REMOÇÃO DE PORTAS, DE FORMA MANUAL, SEM REAPROVEITAMENTO. AF_12/2017</t>
  </si>
  <si>
    <t>2.7</t>
  </si>
  <si>
    <t>REMOÇÃO DE INTERRUPTORES/TOMADAS ELÉTRICAS, DE FORMA MANUAL, SEM REAPROVEITAMENTO. AF_12/2017</t>
  </si>
  <si>
    <t>UN</t>
  </si>
  <si>
    <t>2.8</t>
  </si>
  <si>
    <t>REMOÇÃO DE CABOS ELÉTRICOS, DE FORMA MANUAL, SEM REAPROVEITAMENTO. AF_12/2017</t>
  </si>
  <si>
    <t>M</t>
  </si>
  <si>
    <t>2.9</t>
  </si>
  <si>
    <t>REMOÇÃO DE TUBULAÇÕES (TUBOS E CONEXÕES) DE ÁGUA FRIA, DE FORMA MANUAL, SEM REAPROVEITAMENTO. AF_12/2017</t>
  </si>
  <si>
    <t>2.10</t>
  </si>
  <si>
    <t>REMOÇÃO DE LOUÇAS, DE FORMA MANUAL, SEM REAPROVEITAMENTO. AF_12/2017</t>
  </si>
  <si>
    <t>2.11</t>
  </si>
  <si>
    <t>97641</t>
  </si>
  <si>
    <t>REMOÇÃO DE FORRO DE GESSO, DE FORMA MANUAL, SEM REAPROVEITAMENTO. AF_12/2017</t>
  </si>
  <si>
    <t>2.12</t>
  </si>
  <si>
    <t>TRANSPORTE HORIZONTAL COM CARRINHO PLATAFORMA, DE SACOS DE 50 KG (UNIDADE: KGXKM). AF_07/2019</t>
  </si>
  <si>
    <t>KGXKM</t>
  </si>
  <si>
    <t>2.13</t>
  </si>
  <si>
    <t>MERCADO</t>
  </si>
  <si>
    <t>RETIRADA DO ENTULHO COM CAÇAMBA</t>
  </si>
  <si>
    <t>ESTRUTURA DE CONCRETO E REFORÇOS</t>
  </si>
  <si>
    <t>3.1</t>
  </si>
  <si>
    <t>95957</t>
  </si>
  <si>
    <t>(COMPOSIÇÃO REPRESENTATIVA) EXECUÇÃO DE ESTRUTURAS DE CONCRETO ARMADO, PARA EDIFICAÇÃO INSTITUCIONAL TÉRREA, FCK = 25 MPA. AF_01/2017</t>
  </si>
  <si>
    <t>3.2</t>
  </si>
  <si>
    <t>PERFIL "I" DE ACO LAMINADO, ABAS PARALELAS, "W", QUALQUER BITOLA</t>
  </si>
  <si>
    <t>KG</t>
  </si>
  <si>
    <t>reforço no vestiário unissex</t>
  </si>
  <si>
    <t>PAREDES E VEDAÇÕES</t>
  </si>
  <si>
    <t>COMPOSIÇÃO 1</t>
  </si>
  <si>
    <t>PAREDE COM PLACAS DE GESSO ACARTONADO RU(DRYWALL), PARA USO INTERNO, COM DUAS FACES SIMPLES E ESTRUTURA METÁLICA COM GUIAS SIMPLES, COM VÃOS. AF_06/2017_P</t>
  </si>
  <si>
    <t>3.3</t>
  </si>
  <si>
    <t>VERGA PRÉ-MOLDADA PARA JANELAS COM MAIS DE 1,5 M DE VÃO. AF_03/2016</t>
  </si>
  <si>
    <t>3.4</t>
  </si>
  <si>
    <t>103331</t>
  </si>
  <si>
    <t>ALVENARIA DE VEDAÇÃO DE BLOCOS CERÂMICOS FURADOS NA HORIZONTAL DE 11,5X19X19 CM (ESPESSURA 11,5 CM) E ARGAMASSA DE ASSENTAMENTO COM PREPARO MANUAL. AF_12/2021</t>
  </si>
  <si>
    <t>3.5</t>
  </si>
  <si>
    <t>103326</t>
  </si>
  <si>
    <t>ALVENARIA DE VEDAÇÃO DE BLOCOS CERÂMICOS FURADOS NA VERTICAL DE 19X19X39 CM (ESPESSURA 19 CM) E ARGAMASSA DE ASSENTAMENTO COM PREPARO EM BETONEIRA. AF_12/2021</t>
  </si>
  <si>
    <t>FORROS</t>
  </si>
  <si>
    <t>4.1</t>
  </si>
  <si>
    <t>COMPOSIÇÃO 2</t>
  </si>
  <si>
    <t>FORRO EM DRYWALL, PARA AMBIENTES RESIDENCIAIS, COM PLACA RU (RESISTENTE À UMIDADE) INCLUSIVE ESTRUTURA DE FIXAÇÃO. AF_05/2017_P</t>
  </si>
  <si>
    <t>4.2</t>
  </si>
  <si>
    <t>FORRO EM DRYWALL, PARA AMBIENTES COMERCIAIS, INCLUSIVE ESTRUTURA DE FIXAÇÃO. AF_05/2017_P</t>
  </si>
  <si>
    <t>PAVIMENTAÇÃO INTERNA e EXTERNA</t>
  </si>
  <si>
    <t>5.1</t>
  </si>
  <si>
    <t>PISO CIMENTADO, TRAÇO 1:3 (CIMENTO E AREIA), ACABAMENTO LISO, ESPESSURA 3,0 CM, PREPARO MECÂNICO DA ARGAMASSA. AF_09/2020</t>
  </si>
  <si>
    <t>5.2</t>
  </si>
  <si>
    <t>101727</t>
  </si>
  <si>
    <t>PISO VINÍLICO SEMI-FLEXÍVEL EM PLACAS, PADRÃO LISO, ESPESSURA 3,2 MM, FIXADO COM COLA. AF_09/2020</t>
  </si>
  <si>
    <t>5.3</t>
  </si>
  <si>
    <t>87258</t>
  </si>
  <si>
    <t>REVESTIMENTO CERÂMICO PARA PISO COM PLACAS TIPO PORCELANATO DE DIMENSÕES 45X45 CM APLICADA EM AMBIENTES DE ÁREA MENOR QUE 5 M². AF_06/2014</t>
  </si>
  <si>
    <t>banheiros e vestiários, DMLs, Utilidades, Copa, Sala suja</t>
  </si>
  <si>
    <t>5.4</t>
  </si>
  <si>
    <t>98686</t>
  </si>
  <si>
    <t>RODAPÉ EM LADRILHO HIDRÁULICO, ALTURA 7 CM. AF_09/2020</t>
  </si>
  <si>
    <t>5.5</t>
  </si>
  <si>
    <t>87251</t>
  </si>
  <si>
    <t>REVESTIMENTO CERÂMICO PARA PISO COM PLACAS TIPO ESMALTADA EXTRA DE DIMENSÕES 45X45 CM APLICADA EM AMBIENTES DE ÁREA MAIOR QUE 10 M2. AF_06/2014</t>
  </si>
  <si>
    <t>IMPERMEABILIZAÇÕES</t>
  </si>
  <si>
    <t>6.1</t>
  </si>
  <si>
    <t>COMPOSIÇÃO 6</t>
  </si>
  <si>
    <t xml:space="preserve">PERFIL RODAPE DE IMPERMEABILIZACAO, FORMATO L, EM ACO ZINCADO, PARA ESTRUTURA DRYWALL, E = 0,5 MM, 220 X 3000 MM (H X C)                                                                                                                                                                                                                                                                                                                                                                                  </t>
  </si>
  <si>
    <t>6.2</t>
  </si>
  <si>
    <t>IMPERMEABILIZAÇÃO DE SUPERFÍCIE COM MANTA ASFÁLTICA, UMA CAMADA, INCLUSIVE APLICAÇÃO DE PRIMER ASFÁLTICO, E=3MM. AF_06/2018</t>
  </si>
  <si>
    <t>6.3</t>
  </si>
  <si>
    <t>PROTEÇÃO MECÂNICA DE SUPERFICIE HORIZONTAL COM ARGAMASSA DE CIMENTO E AREIA, TRAÇO 1:3, E=3CM. AF_06/2018</t>
  </si>
  <si>
    <t>6.4</t>
  </si>
  <si>
    <t>IMPERMEABILIZAÇÃO DE SUPERFÍCIE COM ARGAMASSA POLIMÉRICA / MEMBRANA ACRÍLICA, 3 DEMÃOS. AF_06/2018</t>
  </si>
  <si>
    <t>6.5</t>
  </si>
  <si>
    <t>98547</t>
  </si>
  <si>
    <t>IMPERMEABILIZAÇÃO DE SUPERFÍCIE COM MANTA ASFÁLTICA, DUAS CAMADAS, INCLUSIVE APLICAÇÃO DE PRIMER ASFÁLTICO, E=3MM E E=4MM. AF_06/2018</t>
  </si>
  <si>
    <t>cobertura parte nova</t>
  </si>
  <si>
    <t>6.6</t>
  </si>
  <si>
    <t>98572</t>
  </si>
  <si>
    <t>PROTEÇÃO MECÂNICA DE SUPERFICIE HORIZONTAL COM CONCRETO 15 MPA, E=5CM. AF_06/2018</t>
  </si>
  <si>
    <t>6.7</t>
  </si>
  <si>
    <t>RUFO INTERNO DE CHAPA DE ACO GALVANIZADA NUM 26, CORTE 50 CM</t>
  </si>
  <si>
    <t>REVESTIMENTOS</t>
  </si>
  <si>
    <t>7.1</t>
  </si>
  <si>
    <t>87893</t>
  </si>
  <si>
    <t>CHAPISCO APLICADO EM ALVENARIA (SEM PRESENÇA DE VÃOS) E ESTRUTURAS DE CONCRETO DE FACHADA, COM COLHER DE PEDREIRO.  ARGAMASSA TRAÇO 1:3 COM PREPARO MANUAL. AF_06/2014</t>
  </si>
  <si>
    <t>7.2</t>
  </si>
  <si>
    <t>87530</t>
  </si>
  <si>
    <t>MASSA ÚNICA, PARA RECEBIMENTO DE PINTURA, EM ARGAMASSA TRAÇO 1:2:8, PREPARO MANUAL, APLICADA MANUALMENTE EM FACES INTERNAS DE PAREDES, ESPESSURA DE 20MM, COM EXECUÇÃO DE TALISCAS. AF_06/2014</t>
  </si>
  <si>
    <t>7.3</t>
  </si>
  <si>
    <t>REVESTIMENTO CERÂMICO PARA PAREDES INTERNAS COM PLACAS TIPO ESMALTADA EXTRA  DE DIMENSÕES 33X45 CM APLICADAS EM AMBIENTES DE ÁREA MENOR QUE 5 M² NA ALTURA INTEIRA DAS PAREDES. AF_06/2014</t>
  </si>
  <si>
    <t>revestimento cerâmico em todo o banheiro PNE, todo o box do outro banho e paredes molhadas até 1,5m de altura</t>
  </si>
  <si>
    <t>ESQUADRIAS</t>
  </si>
  <si>
    <t>8.1</t>
  </si>
  <si>
    <t>KIT DE PORTA-PRONTA DE MADEIRA EM ACABAMENTO MELAMÍNICO BRANCO, FOLHA PESADA OU SUPERPESADA, 80X210CM, FIXAÇÃO COM PREENCHIMENTO PARCIAL DE ESPUMA EXPANSIVA - FORNECIMENTO E INSTALAÇÃO. AF_12/2019</t>
  </si>
  <si>
    <t>duas são de correr</t>
  </si>
  <si>
    <t>8.2</t>
  </si>
  <si>
    <t>90789</t>
  </si>
  <si>
    <t>KIT DE PORTA-PRONTA DE MADEIRA EM ACABAMENTO MELAMÍNICO BRANCO, FOLHA LEVE OU MÉDIA, 70X210CM, EXCLUSIVE FECHADURA, FIXAÇÃO COM PREENCHIMENTO PARCIAL DE ESPUMA EXPANSIVA - FORNECIMENTO E INSTALAÇÃO. AF_12/2019</t>
  </si>
  <si>
    <t>8.3</t>
  </si>
  <si>
    <t>COMPOSIÇÃO 10</t>
  </si>
  <si>
    <t>PORTA CORTA-FOGO 160X210X4CM - FORNECIMENTO E INSTALAÇÃO. AF_12/2019</t>
  </si>
  <si>
    <t>8.4</t>
  </si>
  <si>
    <t>COMPOSIÇÃO 5</t>
  </si>
  <si>
    <t>CAIXILHO FIXO, DE ALUMÍNIO, PARA VIDRO (VISOR nas paredes e portas)</t>
  </si>
  <si>
    <t>INSTALAÇÕES HIDROSSANITÁRIAS</t>
  </si>
  <si>
    <t>ESGOTO</t>
  </si>
  <si>
    <t>9.1</t>
  </si>
  <si>
    <t>(COMPOSIÇÃO REPRESENTATIVA) DO SERVIÇO DE INSTALAÇÃO DE TUBO DE PVC, SÉRIE NORMAL, ESGOTO PREDIAL, DN 40 MM (INSTALADO EM RAMAL DE DESCARGA OU RAMAL DE ESGOTO SANITÁRIO), INCLUSIVE CONEXÕES, CORTES E FIXAÇÕES, PARA PRÉDIOS. AF_10/2015</t>
  </si>
  <si>
    <t>9.2</t>
  </si>
  <si>
    <t>91793</t>
  </si>
  <si>
    <t>(COMPOSIÇÃO REPRESENTATIVA) DO SERVIÇO DE INSTALAÇÃO DE TUBO DE PVC, SÉRIE NORMAL, ESGOTO PREDIAL, DN 50 MM (INSTALADO EM RAMAL DE DESCARGA OU RAMAL DE ESGOTO SANITÁRIO), INCLUSIVE CONEXÕES, CORTES E FIXAÇÕES PARA, PRÉDIOS. AF_10/2015</t>
  </si>
  <si>
    <t>9.3</t>
  </si>
  <si>
    <t>(COMPOSIÇÃO REPRESENTATIVA) DO SERVIÇO DE INST. TUBO PVC, SÉRIE N, ESGOTO PREDIAL, DN 75 MM, (INST. EM RAMAL DE DESCARGA, RAMAL DE ESG. SANITÁRIO, PRUMADA DE ESG. SANITÁRIO OU VENTILAÇÃO), INCL. CONEXÕES, CORTES E FIXAÇÕES, P/ PRÉDIOS. AF_10/2015</t>
  </si>
  <si>
    <t>9.4</t>
  </si>
  <si>
    <t>(COMPOSIÇÃO REPRESENTATIVA) DO SERVIÇO DE INST. TUBO PVC, SÉRIE N, ESGOTO PREDIAL, 100 MM (INST. RAMAL DESCARGA, RAMAL DE ESG. SANIT., PRUMADA ESG. SANIT., VENTILAÇÃO OU SUB-COLETOR AÉREO), INCL. CONEXÕES E CORTES, FIXAÇÕES, P/ PRÉDIOS. AF_10/2015</t>
  </si>
  <si>
    <t>9.5</t>
  </si>
  <si>
    <t>CAIXA SIFONADA, PVC, DN 150 X 185 X 75 MM, JUNTA ELÁSTICA, FORNECIDA E INSTALADA EM RAMAL DE DESCARGA OU EM RAMAL DE ESGOTO SANITÁRIO. AF_12/2014</t>
  </si>
  <si>
    <t>ÁGUA FRIA</t>
  </si>
  <si>
    <t>9.6</t>
  </si>
  <si>
    <t>RASGO EM ALVENARIA PARA RAMAIS/ DISTRIBUIÇÃO COM DIAMETROS MENORES OU IGUAIS A 40 MM. AF_05/2015</t>
  </si>
  <si>
    <t>9.7</t>
  </si>
  <si>
    <t>CHUMBAMENTO LINEAR EM ALVENARIA PARA RAMAIS/DISTRIBUIÇÃO COM DIÂMETROS MENORES OU IGUAIS A 40 MM. AF_05/2015</t>
  </si>
  <si>
    <t>9.8</t>
  </si>
  <si>
    <t>91785</t>
  </si>
  <si>
    <t>(COMPOSIÇÃO REPRESENTATIVA) DO SERVIÇO DE INSTALAÇÃO DE TUBOS DE PVC, SOLDÁVEL, ÁGUA FRIA, DN 25 MM (INSTALADO EM RAMAL, SUB-RAMAL, RAMAL DE DISTRIBUIÇÃO OU PRUMADA), INCLUSIVE CONEXÕES, CORTES E FIXAÇÕES, PARA PRÉDIOS. AF_10/2015</t>
  </si>
  <si>
    <t>LOUÇAS, METAIS E ACESSÓRIOS</t>
  </si>
  <si>
    <t>9.9</t>
  </si>
  <si>
    <t>VASO SANITÁRIO SIFONADO COM CAIXA ACOPLADA LOUÇA BRANCA - FORNECIMENTO E INSTALAÇÃO. AF_01/2020</t>
  </si>
  <si>
    <t>9.10</t>
  </si>
  <si>
    <t>LAVATÓRIO LOUÇA BRANCA COM COLUNA, 45 X 55CM OU EQUIVALENTE, PADRÃO MÉDIO - FORNECIMENTO E INSTALAÇÃO. AF_01/2020</t>
  </si>
  <si>
    <t>9.11</t>
  </si>
  <si>
    <t>APARELHO MISTURADOR DE MESA PARA LAVATÓRIO, PADRÃO MÉDIO - FORNECIMENTO E INSTALAÇÃO. AF_01/2020</t>
  </si>
  <si>
    <t>9.12</t>
  </si>
  <si>
    <t>ENGATE FLEXÍVEL EM INOX, 1/2  X 40CM - FORNECIMENTO E INSTALAÇÃO. AF_01/2020</t>
  </si>
  <si>
    <t>9.13</t>
  </si>
  <si>
    <t>SIFÃO DO TIPO FLEXÍVEL EM PVC 1  X 1.1/2  - FORNECIMENTO E INSTALAÇÃO. AF_01/2020</t>
  </si>
  <si>
    <t>9.14</t>
  </si>
  <si>
    <t>VÁLVULA EM METAL CROMADO 1.1/2 X 1.1/2 PARA TANQUE OU LAVATÓRIO, COM OU SEM LADRÃO - FORNECIMENTO E INSTALAÇÃO. AF_01/2020</t>
  </si>
  <si>
    <t>9.15</t>
  </si>
  <si>
    <t>MANOPLA E CANOPLA CROMADA  FORNECIMENTO E INSTALAÇÃO. AF_01/2020</t>
  </si>
  <si>
    <t>9.16</t>
  </si>
  <si>
    <t>REGISTRO DE PRESSÃO BRUTO, LATÃO, ROSCÁVEL, 1/2", FORNECIDO E INSTALADO EM RAMAL DE ÁGUA. AF_12/2014</t>
  </si>
  <si>
    <t>9.17</t>
  </si>
  <si>
    <t>REGISTRO DE GAVETA BRUTO, LATÃO, ROSCÁVEL, 3/4", FORNECIDO E INSTALADO EM RAMAL DE ÁGUA. AF_12/2014</t>
  </si>
  <si>
    <t>9.18</t>
  </si>
  <si>
    <t>86872</t>
  </si>
  <si>
    <t>TANQUE DE LOUÇA BRANCA COM COLUNA, 30L OU EQUIVALENTE - FORNECIMENTO E INSTALAÇÃO. AF_01/2020</t>
  </si>
  <si>
    <t>9.19</t>
  </si>
  <si>
    <t>86909</t>
  </si>
  <si>
    <t>TORNEIRA CROMADA TUBO MÓVEL, DE MESA, 1/2 OU 3/4, PARA PIA DE COZINHA, PADRÃO ALTO - FORNECIMENTO E INSTALAÇÃO. AF_01/2020</t>
  </si>
  <si>
    <t>9.20</t>
  </si>
  <si>
    <t>Tampo medindo 1500x600mm, constituído por espelho posterior de 100mm de altura, com 01(um) expurgo padrão hospitalar 320mm com bocal de 100mm e 01(uma) cuba medindo 500x400x300mm com válvula padrão americana de 3.1/2”, confeccionado em chapa de aço inoxidável AISI 304 de acabamento polido, com forração em mdf melamínico na parte inferior do tampo.</t>
  </si>
  <si>
    <t>utilidades e copa</t>
  </si>
  <si>
    <t>9.21</t>
  </si>
  <si>
    <t>Tampo medindo 2900x600mm, constituído por espelho posterior de 100mm de altura, com 01(uma) cuba medindo 500x400x300mm com válvula padrão americana de 3.1/2”, confeccionado em chapa de aço inoxidável AISI 304 de acabamento polido, com forração em mdf melamínico na parte inferior do tampo.</t>
  </si>
  <si>
    <t>sala anestésicos</t>
  </si>
  <si>
    <t>9.22</t>
  </si>
  <si>
    <t>COMPOSIÇÃO 13</t>
  </si>
  <si>
    <t xml:space="preserve">BANCADA EM AÇO INOX LARGURA 60CM </t>
  </si>
  <si>
    <t>sala suja</t>
  </si>
  <si>
    <t>INSTALAÇÕES ELÉTRICAS / LÓGICA</t>
  </si>
  <si>
    <t>10.1</t>
  </si>
  <si>
    <t>QUADRO DE DISTRIBUIÇÃO DE ENERGIA EM CHAPA DE AÇO GALVANIZADO, DE EMBUTIR, COM BARRAMENTO TRIFÁSICO, PARA 30 DISJUNTORES DIN 225A – FORNECIMENTO E INSTALAÇÃO. AF_10/2020</t>
  </si>
  <si>
    <t>10.2</t>
  </si>
  <si>
    <t>COMPOSIÇÃO IE.29</t>
  </si>
  <si>
    <t xml:space="preserve">QUADRO DE DISTRIBUIÇÃO DE ENERGIA EM CHAPA DE AÇO GALVANIZADO, DE EMBUTIR, COM BARRAMENTO TRIFÁSICO, PARA 60 DISJUNTORES DIN 250A - FORNECIMENTO E INSTALAÇÃO. </t>
  </si>
  <si>
    <t>10.3</t>
  </si>
  <si>
    <t>QUADRO DE DISTRIBUIÇÃO DE ENERGIA EM CHAPA DE AÇO GALVANIZADO, DE EMBUTIR, COM BARRAMENTO TRIFÁSICO, PARA 18 DISJUNTORES DIN 100A - FORNECIMENTO E INSTALAÇÃO. AF_10/2020</t>
  </si>
  <si>
    <t>10.4</t>
  </si>
  <si>
    <t>CAIXA OCTOGONAL 4" X 4", METÁLICA, INSTALADA EM LAJE - FORNECIMENTO E INSTALAÇÃO. AF_12/2015</t>
  </si>
  <si>
    <t>10.5</t>
  </si>
  <si>
    <t>CAIXA RETANGULAR 4" X 2" ALTA (2,00 M DO PISO), PVC, INSTALADA EM PAREDE - FORNECIMENTO E INSTALAÇÃO. AF_12/2015</t>
  </si>
  <si>
    <t>10.6</t>
  </si>
  <si>
    <t>CAIXA RETANGULAR 4" X 2" MÉDIA (1,30 M DO PISO), PVC, INSTALADA EM PAREDE - FORNECIMENTO E INSTALAÇÃO. AF_12/2015</t>
  </si>
  <si>
    <t>10.7</t>
  </si>
  <si>
    <t>CAIXA RETANGULAR 4" X 2" BAIXA (0,30 M DO PISO), PVC, INSTALADA EM PAREDE - FORNECIMENTO E INSTALAÇÃO. AF_12/2015</t>
  </si>
  <si>
    <t>10.8</t>
  </si>
  <si>
    <t>CONDULETE DE ALUMÍNIO, TIPO T, PARA ELETRODUTO DE AÇO GALVANIZADO DN 20 MM (3/4''), APARENTE - FORNECIMENTO E INSTALAÇÃO. AF_11/2016_P</t>
  </si>
  <si>
    <t>10.9</t>
  </si>
  <si>
    <t>CONDULETE DE ALUMÍNIO, TIPO T, PARA ELETRODUTO DE AÇO GALVANIZADO DN 25 MM (1''), APARENTE - FORNECIMENTO E INSTALAÇÃO. AF_11/2016_P</t>
  </si>
  <si>
    <t>10.10</t>
  </si>
  <si>
    <t>CONDULETE DE ALUMÍNIO, TIPO LR, PARA ELETRODUTO DE AÇO GALVANIZADO DN 20 MM (3/4''), APARENTE - FORNECIMENTO E INSTALAÇÃO. AF_11/2016_P</t>
  </si>
  <si>
    <t>10.11</t>
  </si>
  <si>
    <t>COMPOSIÇÃO IE.33</t>
  </si>
  <si>
    <t xml:space="preserve">CONDULETE DE ALUMÍNIO, TIPO LL, PARA ELETRODUTO DE AÇO GALVANIZADO (4''), APARENTE - FORNECIMENTO E INSTALAÇÃO. </t>
  </si>
  <si>
    <t>10.12</t>
  </si>
  <si>
    <t>COMPOSIÇÃO IE.1</t>
  </si>
  <si>
    <t>ELETROCALHA LISA OU PERFURADA EM AÇO GALVANIZADO, LARGURA 100MM E ALTURA 50MM, INCLUSIVE EMENDA E FIXAÇÃO - FORNECIMENTO E INSTALAÇÃO</t>
  </si>
  <si>
    <t>10.13</t>
  </si>
  <si>
    <t>COMPOSIÇÃO IE.2</t>
  </si>
  <si>
    <t>ELETROCALHA LISA OU PERFURADA EM AÇO GALVANIZADO, LARGURA 200MM E ALTURA 50MM, INCLUSIVE EMENDA E FIXAÇÃO - FORNECIMENTO E INSTALAÇÃO</t>
  </si>
  <si>
    <t>10.14</t>
  </si>
  <si>
    <t>COMPOSIÇÃO IE.30</t>
  </si>
  <si>
    <t>ELETROCALHA LISA OU PERFURADA EM AÇO GALVANIZADO, LARGURA 50MM E ALTURA 50MM, INCLUSIVE EMENDA E FIXAÇÃO - FORNECIMENTO E INSTALAÇÃO</t>
  </si>
  <si>
    <t>10.15</t>
  </si>
  <si>
    <t>COMPOSIÇÃO IE.3</t>
  </si>
  <si>
    <t>SAIDA GALVANIZADA ELETROCALHA PARA ELETRODUTO 1” - FORNECIMENTO E INSTALAÇÃO.</t>
  </si>
  <si>
    <t>10.16</t>
  </si>
  <si>
    <t>COMPOSIÇÃO IE.4</t>
  </si>
  <si>
    <t>SAIDA GALVANIZADA ELETROCALHA PARA ELETRODUTO 3/4” - FORNECIMENTO E INSTALAÇÃO.</t>
  </si>
  <si>
    <t>10.17</t>
  </si>
  <si>
    <t>COMPOSIÇÃO IE.5</t>
  </si>
  <si>
    <t>TE PARA ELETROCALHA, LISA OU PERFURADA EM AÇO GALVANIZADO, LARGURA DE 100MM E ALTURA DE 50MM - FORNECIMENTO E INSTALAÇÃO.</t>
  </si>
  <si>
    <t>10.18</t>
  </si>
  <si>
    <t>COMPOSIÇÃO IE.6</t>
  </si>
  <si>
    <t>CURVA HORIZONTAL 90º, PARA ELETROCALHA, LISA OU PERFURADA EM AÇO GALVANIZADO, LARGURA DE 100MM E ALTURA DE 50MM - FORNECIMENTO E INSTALAÇÃO.</t>
  </si>
  <si>
    <t>10.19</t>
  </si>
  <si>
    <t>COMPOSIÇÃO IE.7</t>
  </si>
  <si>
    <t>TE PARA ELETROCALHA, LISA OU PERFURADA EM AÇO GALVANIZADO, LARGURA DE 200MM E ALTURA DE 50MM - FORNECIMENTO E INSTALAÇÃO.</t>
  </si>
  <si>
    <t>10.20</t>
  </si>
  <si>
    <t>COMPOSIÇÃO IE.8</t>
  </si>
  <si>
    <t>CURVA HORIZONTAL 90º, PARA ELETROCALHA, LISA OU PERFURADA EM AÇO GALVANIZADO, LARGURA DE 200MM E ALTURA DE 50MM - FORNECIMENTO E INSTALAÇÃO.</t>
  </si>
  <si>
    <t>10.21</t>
  </si>
  <si>
    <t>COMPOSIÇÃO IE.9</t>
  </si>
  <si>
    <t>CURVA VERTICAL 90º, PARA ELETROCALHA, LISA OU PERFURADA EM AÇO GALVANIZADO, LARGURA DE 200MM E ALTURA DE 50MM - FORNECIMENTO E INSTALAÇÃO.</t>
  </si>
  <si>
    <t>10.22</t>
  </si>
  <si>
    <t>COMPOSIÇÃO IE.10</t>
  </si>
  <si>
    <t>CRUZETA, PARA ELETROCALHA, LISA OU PERFURADA EM AÇO GALVANIZADO, LARGURA DE 200MM E ALTURA DE 50MM - FORNECIMENTO E INSTALAÇÃO.</t>
  </si>
  <si>
    <t>10.23</t>
  </si>
  <si>
    <t>COMPOSIÇÃO IE.31</t>
  </si>
  <si>
    <t>CURVA VERTICAL 90º, PARA ELETROCALHA, LISA OU PERFURADA EM AÇO GALVANIZADO, LARGURA DE 50MM E ALTURA DE 50MM - FORNECIMENTO E INSTALAÇÃO.</t>
  </si>
  <si>
    <t>10.24</t>
  </si>
  <si>
    <t>COMPOSIÇÃO IE.32</t>
  </si>
  <si>
    <t>CURVA HORIZONTAL 90º, PARA ELETROCALHA, LISA OU PERFURADA EM AÇO GALVANIZADO, LARGURA DE 50MM E ALTURA DE 50MM - FORNECIMENTO E INSTALAÇÃO.</t>
  </si>
  <si>
    <t>10.25</t>
  </si>
  <si>
    <t>ELETRODUTO RÍGIDO ROSCÁVEL, PVC, DN 25 MM (3/4"), PARA CIRCUITOS TERMINAIS, INSTALADO EM PAREDE - FORNECIMENTO E INSTALAÇÃO. AF_12/2015</t>
  </si>
  <si>
    <t>10.26</t>
  </si>
  <si>
    <t>ELETRODUTO RÍGIDO ROSCÁVEL, PVC, DN 32 MM (1"), PARA CIRCUITOS TERMINAIS, INSTALADO EM PAREDE - FORNECIMENTO E INSTALAÇÃO. AF_12/2015</t>
  </si>
  <si>
    <t>10.27</t>
  </si>
  <si>
    <t>ELETRODUTO RÍGIDO ROSCÁVEL, PVC, DN 25 MM (3/4"), PARA CIRCUITOS TERMINAIS, INSTALADO EM FORRO - FORNECIMENTO E INSTALAÇÃO. AF_12/2015</t>
  </si>
  <si>
    <t>10.28</t>
  </si>
  <si>
    <t>ELETRODUTO RÍGIDO ROSCÁVEL, PVC, DN 32 MM (1"), PARA CIRCUITOS TERMINAIS, INSTALADO EM FORRO - FORNECIMENTO E INSTALAÇÃO. AF_12/2015</t>
  </si>
  <si>
    <t>10.29</t>
  </si>
  <si>
    <t>LUVA PARA ELETRODUTO, PVC, ROSCÁVEL, DN 25 MM (3/4"), PARA CIRCUITOS TERMINAIS, INSTALADA EM FORRO - FORNECIMENTO E INSTALAÇÃO. AF_12/2015</t>
  </si>
  <si>
    <t>10.30</t>
  </si>
  <si>
    <t xml:space="preserve">LUVA PARA ELETRODUTO, PVC, ROSCÁVEL, DN 32 MM (1"), PARA CIRCUITOS TERMINAIS, INSTALADA EM FORRO - FORNECIMENTO E INSTALAÇÃO. AF_12/2015 </t>
  </si>
  <si>
    <t>10.31</t>
  </si>
  <si>
    <t>CURVA 90 GRAUS PARA ELETRODUTO, PVC, ROSCÁVEL, DN 25 MM (3/4"), PARA CIRCUITOS TERMINAIS, INSTALADA EM FORRO - FORNECIMENTO E INSTALAÇÃO. AF_12/2015</t>
  </si>
  <si>
    <t>10.32</t>
  </si>
  <si>
    <t>CURVA 90 GRAUS PARA ELETRODUTO, PVC, ROSCÁVEL, DN 32 MM (1"), PARA CIRCUITOS TERMINAIS, INSTALADA EM FORRO - FORNECIMENTO E INSTALAÇÃO. AF_12/2015</t>
  </si>
  <si>
    <t>10.33</t>
  </si>
  <si>
    <t>ELETRODUTO FLEXÍVEL CORRUGADO, PEAD, DN 100 (4"), PARA REDE ENTERRADA DE DISTRIBUIÇÃO DE ENERGIA ELÉTRICA - FORNECIMENTO E INSTALAÇÃO. AF_12/2021</t>
  </si>
  <si>
    <t>10.34</t>
  </si>
  <si>
    <t>ELETRODUTO RÍGIDO ROSCÁVEL, PVC, DN 110 MM (4") - FORNECIMENTO E INSTALAÇÃO. AF_12/2021</t>
  </si>
  <si>
    <t>10.35</t>
  </si>
  <si>
    <t>CURVA 90 GRAUS PARA ELETRODUTO, PVC, ROSCÁVEL, DN 110 MM (4") - FORNECIMENTO E INSTALAÇÃO. AF_12/2021</t>
  </si>
  <si>
    <t>10.36</t>
  </si>
  <si>
    <t>LUVA PARA ELETRODUTO, PVC, ROSCÁVEL, DN 110 MM (4") - FORNECIMENTO E INSTALAÇÃO. AF_12/2021</t>
  </si>
  <si>
    <t>10.37</t>
  </si>
  <si>
    <t>REMOÇÃO DE PLACAS E PILARETES DE CONCRETO, DE FORMA MANUAL, SEM REAPROVEITAMENTO. AF_12/2017</t>
  </si>
  <si>
    <t>10.38</t>
  </si>
  <si>
    <t>ESCAVAÇÃO MANUAL DE VALA COM PROFUNDIDADE MENOR OU IGUAL A 1,30 M. AF_02/2021</t>
  </si>
  <si>
    <t>10.39</t>
  </si>
  <si>
    <t>ENVELOPAMENTO (EXECUÇÃO DE PASSEIO (CALÇADA) OU PISO DE CONCRETO COM CONCRETO MOLDADO IN LOCO, FEITO EM OBRA, ACABAMENTO CONVENCIONAL, NÃO ARMADO. AF_07/2016)</t>
  </si>
  <si>
    <t>10.40</t>
  </si>
  <si>
    <t>REATERRO MANUAL APILOADO COM SOQUETE. AF_10/2017</t>
  </si>
  <si>
    <t>10.41</t>
  </si>
  <si>
    <t>CAIXA ENTERRADA ELÉTRICA RETANGULAR, EM ALVENARIA COM TIJOLOS CERÂMICOS MACIÇOS, FUNDO COM BRITA, DIMENSÕES INTERNAS: 0,6X0,6X0,6 M. AF_12/2020</t>
  </si>
  <si>
    <t>10.42</t>
  </si>
  <si>
    <t>CABO DE COBRE FLEXÍVEL ISOLADO, 2,5 MM², ANTI-CHAMA 450/750 V, PARA CIRCUITOS TERMINAIS - FORNECIMENTO E INSTALAÇÃO. AF_12/2015</t>
  </si>
  <si>
    <t>10.43</t>
  </si>
  <si>
    <t>CABO DE COBRE FLEXÍVEL ISOLADO, 4 MM², ANTI-CHAMA 450/750 V, PARA CIRCUITOS TERMINAIS - FORNECIMENTO E INSTALAÇÃO. AF_12/2015</t>
  </si>
  <si>
    <t>10.44</t>
  </si>
  <si>
    <t>CABO DE COBRE FLEXÍVEL ISOLADO, 4 MM², ANTI-CHAMA 0,6/1,0 KV, PARA CIRCUITOS TERMINAIS - FORNECIMENTO E INSTALAÇÃO. AF_12/2015</t>
  </si>
  <si>
    <t>10.45</t>
  </si>
  <si>
    <t>CABO DE COBRE FLEXÍVEL ISOLADO, 6 MM², ANTI-CHAMA 0,6/1,0 KV, PARA CIRCUITOS TERMINAIS - FORNECIMENTO E INSTALAÇÃO. AF_12/2015</t>
  </si>
  <si>
    <t>10.46</t>
  </si>
  <si>
    <t>CABO DE COBRE FLEXÍVEL ISOLADO, 16 MM², ANTI-CHAMA 0,6/1,0 KV, PARA DISTRIBUIÇÃO - FORNECIMENTO E INSTALAÇÃO. AF_12/2015</t>
  </si>
  <si>
    <t>10.47</t>
  </si>
  <si>
    <t>CABO DE COBRE FLEXÍVEL ISOLADO, 25 MM², ANTI-CHAMA 0,6/1,0 KV, PARA REDE ENTERRADA DE DISTRIBUIÇÃO DE ENERGIA ELÉTRICA - FORNECIMENTO E INSTALAÇÃO. AF_12/2021</t>
  </si>
  <si>
    <t>10.48</t>
  </si>
  <si>
    <t>CABO DE COBRE FLEXÍVEL ISOLADO, 35 MM², ANTI-CHAMA 0,6/1,0 KV, PARA REDE ENTERRADA DE DISTRIBUIÇÃO DE ENERGIA ELÉTRICA - FORNECIMENTO E INSTALAÇÃO. AF_12/2021</t>
  </si>
  <si>
    <t>10.49</t>
  </si>
  <si>
    <t>CABO DE COBRE FLEXÍVEL ISOLADO, 50 MM², ANTI-CHAMA 0,6/1,0 KV, PARA REDE ENTERRADA DE DISTRIBUIÇÃO DE ENERGIA ELÉTRICA - FORNECIMENTO E INSTALAÇÃO. AF_12/2021</t>
  </si>
  <si>
    <t>10.50</t>
  </si>
  <si>
    <t>DISJUNTOR MONOPOLAR TIPO DIN, CORRENTE NOMINAL DE 16A - FORNECIMENTO E INSTALAÇÃO. AF_10/2020</t>
  </si>
  <si>
    <t>10.51</t>
  </si>
  <si>
    <t>DISJUNTOR MONOPOLAR TIPO DIN, CORRENTE NOMINAL DE 20A - FORNECIMENTO E INSTALAÇÃO. AF_10/2020</t>
  </si>
  <si>
    <t>10.52</t>
  </si>
  <si>
    <t>DISJUNTOR MONOPOLAR TIPO DIN, CORRENTE NOMINAL DE 25A - FORNECIMENTO E INSTALAÇÃO. AF_10/2020</t>
  </si>
  <si>
    <t>10.53</t>
  </si>
  <si>
    <t>DISJUNTOR MONOPOLAR TIPO DIN, CORRENTE NOMINAL DE 32A - FORNECIMENTO E INSTALAÇÃO. AF_10/2020</t>
  </si>
  <si>
    <t>10.54</t>
  </si>
  <si>
    <t>DISJUNTOR TRIPOLAR TIPO DIN, CORRENTE NOMINAL DE 25A - FORNECIMENTO E INSTALAÇÃO. AF_10/2020</t>
  </si>
  <si>
    <t>10.55</t>
  </si>
  <si>
    <t>DISJUNTOR TRIPOLAR TIPO DIN, CORRENTE NOMINAL DE 50A - FORNECIMENTO E INSTALAÇÃO. AF_10/2020</t>
  </si>
  <si>
    <t>10.56</t>
  </si>
  <si>
    <t>DISJUNTOR TRIPOLAR, CORRENTE NOMINAL DE 60 ATÉ 100A – FORNECIMENTO E INSTALAÇÃO. AF_10/2020</t>
  </si>
  <si>
    <t>10.57</t>
  </si>
  <si>
    <t>COMPOSIÇÃO IE.35</t>
  </si>
  <si>
    <t>DISJUNTOR TERMOMAGNETICO TRIPOLAR, CORRENTE NOMINAL DE 50A, CAIXA MOLDADA - FORNECIMENTO E INSTALAÇÃO.</t>
  </si>
  <si>
    <t>10.58</t>
  </si>
  <si>
    <t>COMPOSIÇÃO IE.36</t>
  </si>
  <si>
    <t>DISJUNTOR TERMOMAGNETICO TRIPOLAR, CORRENTE NOMINAL DE 100A, CAIXA MOLDADA - FORNECIMENTO E INSTALAÇÃO.</t>
  </si>
  <si>
    <t>10.59</t>
  </si>
  <si>
    <t>DISJUNTOR TERMOMAGNÉTICO TRIPOLAR , CORRENTE NOMINAL DE 200A – FORNECIMENTO E INSTALAÇÃO. AF_10/2020</t>
  </si>
  <si>
    <t>10.60</t>
  </si>
  <si>
    <t>COMPOSIÇÃO IE.11</t>
  </si>
  <si>
    <t>DISPOSITIVO DR, 2 POLOS, SENSIBILIDADE DE 30 MA, CORRENTE DE 25 A – FORNECIMENTO E INSTALAÇÃO.</t>
  </si>
  <si>
    <t>10.61</t>
  </si>
  <si>
    <t>COMPOSIÇÃO IE.12</t>
  </si>
  <si>
    <t>DISPOSITIVO DR, 2 POLOS, SENSIBILIDADE DE 30 MA, CORRENTE DE 40 A – FORNECIMENTO E INSTALAÇÃO.</t>
  </si>
  <si>
    <t>10.62</t>
  </si>
  <si>
    <t>COMPOSIÇÃO IE.13</t>
  </si>
  <si>
    <t>LUMINÁRIA FECHADA TIPO CALHA, DE EMBUTIR, COM 2 LÂMPADAS TUBULARES LED DE 10 W COM REFLETOR COM DIFUSOR - FORNECIMENTO E INSTALAÇÃO.</t>
  </si>
  <si>
    <t>10.63</t>
  </si>
  <si>
    <t>COMPOSIÇÃO IE.28</t>
  </si>
  <si>
    <t>LUMINÁRIA TIPO EMBUTIR REDONDA, COM 1 LÂMPADA LED 10 W - FORNECIMENTO E INSTALAÇÃO.</t>
  </si>
  <si>
    <t>10.64</t>
  </si>
  <si>
    <t>LUMINÁRIA DE EMERGÊNCIA, COM 30 LÂMPADAS LED DE 2 W, SEM REATOR – FORNECIMENTO E INSTALAÇÃO. AF_02/2020</t>
  </si>
  <si>
    <t>10.65</t>
  </si>
  <si>
    <t>COMPOSIÇÃO IE.22</t>
  </si>
  <si>
    <t>TOMADA INDUSTRIAL 3P+T 63A IP67 – FORNECIMENTO E INSTALAÇÃO</t>
  </si>
  <si>
    <t>10.66</t>
  </si>
  <si>
    <t>INTERRUPTOR SIMPLES (1 MÓDULO), 10A/250V, INCLUINDO SUPORTE E PLACA – FORNECIMENTO E INSTALAÇÃO. AF_12/2015</t>
  </si>
  <si>
    <t>10.67</t>
  </si>
  <si>
    <t>INTERRUPTOR PARALELO (1 MÓDULO), 10A/250V, INCLUINDO SUPORTE E PLACA – FORNECIMENTO E INSTALAÇÃO. AF_12/2015</t>
  </si>
  <si>
    <t>10.68</t>
  </si>
  <si>
    <t>INTERRUPTOR SIMPLES (2 MÓDULOS), 10A/250V, INCLUINDO SUPORTE E PLACA - FORNECIMENTO E INSTALAÇÃO. AF_12/2015</t>
  </si>
  <si>
    <t>10.69</t>
  </si>
  <si>
    <t>TOMADA ALTA DE EMBUTIR (1 MÓDULO), 2P+T 10 A, INCLUINDO SUPORTE E PLACA - FORNECIMENTO E INSTALAÇÃO. AF_12/2015</t>
  </si>
  <si>
    <t>10.70</t>
  </si>
  <si>
    <t>TOMADA MÉDIA DE EMBUTIR (1 MÓDULO), 2P+T 20 A, INCLUINDO SUPORTE E PLACA - FORNECIMENTO E INSTALAÇÃO. AF_12/2015</t>
  </si>
  <si>
    <t>10.71</t>
  </si>
  <si>
    <t>TOMADA BAIXA DE EMBUTIR (1 MÓDULO), 2P+T 10 A, INCLUINDO SUPORTE E PLACA - FORNECIMENTO E INSTALAÇÃO. AF_12/2015</t>
  </si>
  <si>
    <t>10.72</t>
  </si>
  <si>
    <t>TOMADA MÉDIA DE EMBUTIR (2 MÓDULOS), 2P+T 20 A, INCLUINDO SUPORTE E PLACA - FORNECIMENTO E INSTALAÇÃO. AF_12/2015</t>
  </si>
  <si>
    <t>10.73</t>
  </si>
  <si>
    <t>TOMADA BAIXA DE EMBUTIR (2 MÓDULOS), 2P+T 10 A, INCLUINDO SUPORTE E PLACA - FORNECIMENTO E INSTALAÇÃO. AF_12/2015</t>
  </si>
  <si>
    <t>INSTALAÇÕES DE REDE DE DADOS (LÓGICA)</t>
  </si>
  <si>
    <t>10.74</t>
  </si>
  <si>
    <t>10.75</t>
  </si>
  <si>
    <t>10.76</t>
  </si>
  <si>
    <t>10.77</t>
  </si>
  <si>
    <t>10.78</t>
  </si>
  <si>
    <t>COMPOSIÇÃO IE.18</t>
  </si>
  <si>
    <t>CURVA VERTICAL 90º, PARA ELETROCALHA, LISA OU PERFURADA EM AÇO GALVANIZADO, LARGURA DE 100MM E ALTURA DE 50MM - FORNECIMENTO E INSTALAÇÃO.</t>
  </si>
  <si>
    <t>10.79</t>
  </si>
  <si>
    <t>COMPOSIÇÃO IE.34</t>
  </si>
  <si>
    <t>CRUZETA, PARA ELETROCALHA, LISA OU PERFURADA EM AÇO GALVANIZADO, LARGURA DE 100MM E ALTURA DE 50MM - FORNECIMENTO E INSTALAÇÃO.</t>
  </si>
  <si>
    <t>10.80</t>
  </si>
  <si>
    <t>10.81</t>
  </si>
  <si>
    <t>10.82</t>
  </si>
  <si>
    <t>LUVA PARA ELETRODUTO, PVC, ROSCÁVEL, DN 32 MM (1"), PARA CIRCUITOS TERMINAIS, INSTALADA EM PAREDE - FORNECIMENTO E INSTALAÇÃO. AF_12/2015</t>
  </si>
  <si>
    <t>10.83</t>
  </si>
  <si>
    <t>CURVA 90 GRAUS PARA ELETRODUTO, PVC, ROSCÁVEL, DN 32 MM (1"), PARA CIRCUITOS TERMINAIS, INSTALADA EM PAREDE - FORNECIMENTO E INSTALAÇÃO. AF_12/2015</t>
  </si>
  <si>
    <t>10.84</t>
  </si>
  <si>
    <t>10.85</t>
  </si>
  <si>
    <t>COMPOSIÇÃO IE.16</t>
  </si>
  <si>
    <t>CABO DE FIBRA ÓPTICA - FORNECIMENTO E INSTALAÇÃO.</t>
  </si>
  <si>
    <t>10.86</t>
  </si>
  <si>
    <t>COMPOSIÇÃO IE.17</t>
  </si>
  <si>
    <t>CONECTORIZAÇÃO PONTO FIBRA ÓPTICA</t>
  </si>
  <si>
    <t>PT</t>
  </si>
  <si>
    <t>10.87</t>
  </si>
  <si>
    <t>COMPOSIÇÃO IE.15</t>
  </si>
  <si>
    <t>RACK FECHADO 5U COM PORTA - FORNECIMENTO E INSTALAÇÃO.</t>
  </si>
  <si>
    <t>10.88</t>
  </si>
  <si>
    <t>PATCH PANEL 24 PORTAS, CATEGORIA 6 - FORNECIMENTO E INSTALAÇÃO. AF_11/2019</t>
  </si>
  <si>
    <t>10.89</t>
  </si>
  <si>
    <t>TOMADA DE REDE RJ45 - FORNECIMENTO E INSTALAÇÃO. AF_11/2019</t>
  </si>
  <si>
    <t>10.90</t>
  </si>
  <si>
    <t>CABO ELETRÔNICO CATEGORIA 6, INSTALADO EM EDIFICAÇÃO INSTITUCIONAL – FORNECIMENTO E INSTALAÇÃO. AF_11/2019</t>
  </si>
  <si>
    <t>PINTURA</t>
  </si>
  <si>
    <t>PAREDES E TETOS</t>
  </si>
  <si>
    <t>11.1</t>
  </si>
  <si>
    <t>88485</t>
  </si>
  <si>
    <t>APLICAÇÃO DE FUNDO SELADOR ACRÍLICO EM PAREDES, UMA DEMÃO. AF_06/2014</t>
  </si>
  <si>
    <t>11.2</t>
  </si>
  <si>
    <t>88495</t>
  </si>
  <si>
    <t>APLICAÇÃO E LIXAMENTO DE MASSA LÁTEX EM PAREDES, UMA DEMÃO. AF_06/2014</t>
  </si>
  <si>
    <t>11.3</t>
  </si>
  <si>
    <t>88484</t>
  </si>
  <si>
    <t>APLICAÇÃO DE FUNDO SELADOR ACRÍLICO EM TETO, UMA DEMÃO. AF_06/2014</t>
  </si>
  <si>
    <t>11.4</t>
  </si>
  <si>
    <t>88494</t>
  </si>
  <si>
    <t>APLICAÇÃO E LIXAMENTO DE MASSA LÁTEX EM TETO, UMA DEMÃO. AF_06/2014</t>
  </si>
  <si>
    <t>11.5</t>
  </si>
  <si>
    <t>88489</t>
  </si>
  <si>
    <t>APLICAÇÃO MANUAL DE PINTURA COM TINTA LÁTEX ACRÍLICA EM PAREDES, DUAS DEMÃOS. AF_06/2014</t>
  </si>
  <si>
    <t>11.6</t>
  </si>
  <si>
    <t>88488</t>
  </si>
  <si>
    <t>APLICAÇÃO MANUAL DE PINTURA COM TINTA LÁTEX ACRÍLICA EM TETO, DUAS DEMÃOS. AF_06/2014</t>
  </si>
  <si>
    <t>COMPLEMENTARES</t>
  </si>
  <si>
    <t>12.1</t>
  </si>
  <si>
    <t>99803</t>
  </si>
  <si>
    <t>LIMPEZA DE PISO CERÂMICO OU PORCELANATO COM PANO ÚMIDO. AF_04/2019</t>
  </si>
  <si>
    <t>12.2</t>
  </si>
  <si>
    <t>KIT DE ACESSORIOS PARA BANHEIRO EM METAL CROMADO, 5 PECAS, INCLUSO FIXAÇÃO. AF_01/2020</t>
  </si>
  <si>
    <t>12.3</t>
  </si>
  <si>
    <t>ASSENTO SANITÁRIO CONVENCIONAL - FORNECIMENTO E INSTALACAO. AF_01/2020</t>
  </si>
  <si>
    <t>12.4</t>
  </si>
  <si>
    <t>100874</t>
  </si>
  <si>
    <t>PUXADOR PARA PCD, FIXADO NA PORTA - FORNECIMENTO E INSTALAÇÃO. AF_01/2020</t>
  </si>
  <si>
    <t>12.5</t>
  </si>
  <si>
    <t>BARRA DE APOIO EM "L", EM ACO INOX POLIDO 80 X 80 CM, FIXADA NA PAREDE - FORNECIMENTO E INSTALACAO. AF_01/2020</t>
  </si>
  <si>
    <t>12.6</t>
  </si>
  <si>
    <t>BARRA DE APOIO RETA, EM ACO INOX POLIDO, COMPRIMENTO 90 CM,  FIXADA NA PAREDE - FORNECIMENTO E INSTALAÇÃO. AF_01/2020</t>
  </si>
  <si>
    <t>REDE DE GASES MEDICINAIS</t>
  </si>
  <si>
    <t>13.4</t>
  </si>
  <si>
    <t>COMPOSIÇÃO 11</t>
  </si>
  <si>
    <t>TUBO EM COBRE RÍGIDO, DN 22 MM, CLASSE E, SEM ISOLAMENTO, INSTALADO EM PRUMADA  FORNECIMENTO E INSTALAÇÃO. AF_12/2015</t>
  </si>
  <si>
    <t>13.5</t>
  </si>
  <si>
    <t>92318</t>
  </si>
  <si>
    <t>TE EM COBRE, DN 22 MM, SEM ANEL DE SOLDA, INSTALADO EM RAMAL DE DISTRIBUIÇÃO  FORNECIMENTO E INSTALAÇÃO. AF_12/2015</t>
  </si>
  <si>
    <t>13.6</t>
  </si>
  <si>
    <t>92327</t>
  </si>
  <si>
    <t>COTOVELO EM COBRE, DN 22 MM, 90 GRAUS, SEM ANEL DE SOLDA, INSTALADO EM RAMAL E SUB-RAMAL  FORNECIMENTO E INSTALAÇÃO. AF_12/2015</t>
  </si>
  <si>
    <t>13.10</t>
  </si>
  <si>
    <t>COMPOSIÇÃO 8</t>
  </si>
  <si>
    <t>TOMADA DE POSTO DE PAREDE PARA REDE DE GASES, FORNECIMENTO E INSTALAÇÃO</t>
  </si>
  <si>
    <t>13.11</t>
  </si>
  <si>
    <t>RASGO EM ALVENARIA PARA ELETRODUTOS COM DIAMETROS MENORES OU IGUAIS A 40 MM. AF_05/2015</t>
  </si>
  <si>
    <t>13.12</t>
  </si>
  <si>
    <t>13.13</t>
  </si>
  <si>
    <t>VÁLVULA DE ESFERA BRUTA, BRONZE, ROSCÁVEL, 1'', INSTALADO EM RESERVAÇÃO DE ÁGUA DE EDIFICAÇÃO QUE POSSUA RESERVATÓRIO DE FIBRA/FIBROCIMENTO -   FORNECIMENTO E INSTALAÇÃO. AF_06/2016</t>
  </si>
  <si>
    <t>SISTEMA DE CLIMATIZAÇÃO</t>
  </si>
  <si>
    <t>14.1</t>
  </si>
  <si>
    <t>COTAÇÃO</t>
  </si>
  <si>
    <t>VB</t>
  </si>
  <si>
    <t>ADMINISTRAÇÃO LOCAL</t>
  </si>
  <si>
    <t>15.1</t>
  </si>
  <si>
    <t>90777</t>
  </si>
  <si>
    <t>ENGENHEIRO CIVIL DE OBRA JUNIOR COM ENCARGOS COMPLEMENTARES</t>
  </si>
  <si>
    <t>H</t>
  </si>
  <si>
    <t>15.2</t>
  </si>
  <si>
    <t>90776</t>
  </si>
  <si>
    <t>ENCARREGADO GERAL COM ENCARGOS COMPLEMENTARES</t>
  </si>
  <si>
    <t>TOTAL DO ORÇAMENTO</t>
  </si>
  <si>
    <t>Sapucaia do Sul, 20 de maio de 2022.</t>
  </si>
  <si>
    <t>___________________________________________</t>
  </si>
  <si>
    <t xml:space="preserve">                  Rafael Silveira - eng. Eletricista</t>
  </si>
  <si>
    <t>Pedro José Dorneles Müller - eng. Civil</t>
  </si>
  <si>
    <t xml:space="preserve">                                  CREA 136938</t>
  </si>
  <si>
    <t>CREA 169093</t>
  </si>
  <si>
    <t>ENCARGOS SOCIAIS SOBRE A MÃO DE OBRA - DESONERADO - (ANEXO 6)</t>
  </si>
  <si>
    <t>CODIGO</t>
  </si>
  <si>
    <t>DESCRIÇÃO</t>
  </si>
  <si>
    <t>HORISTA</t>
  </si>
  <si>
    <t>MENSALISTA</t>
  </si>
  <si>
    <t>GRUPO – A</t>
  </si>
  <si>
    <t>A1</t>
  </si>
  <si>
    <t>INSS</t>
  </si>
  <si>
    <t>A2</t>
  </si>
  <si>
    <t>SESI</t>
  </si>
  <si>
    <t>A3</t>
  </si>
  <si>
    <t>SENAI</t>
  </si>
  <si>
    <t>A4</t>
  </si>
  <si>
    <t>INCRA</t>
  </si>
  <si>
    <t>A5</t>
  </si>
  <si>
    <t>SEBRAE</t>
  </si>
  <si>
    <t>A6</t>
  </si>
  <si>
    <t>Salário Educação</t>
  </si>
  <si>
    <t>A7</t>
  </si>
  <si>
    <t>Seguro Contra Acidentes do Trabalho</t>
  </si>
  <si>
    <t>A8</t>
  </si>
  <si>
    <t>FGTS</t>
  </si>
  <si>
    <t>A9</t>
  </si>
  <si>
    <t>SICONCI</t>
  </si>
  <si>
    <t xml:space="preserve">SUB-TOTAL </t>
  </si>
  <si>
    <t xml:space="preserve">GRUPO - B </t>
  </si>
  <si>
    <t>B1</t>
  </si>
  <si>
    <t>Repouso Semanal Renumerado</t>
  </si>
  <si>
    <t>Não incide</t>
  </si>
  <si>
    <t>B2</t>
  </si>
  <si>
    <t>Feriados</t>
  </si>
  <si>
    <t>B3</t>
  </si>
  <si>
    <t>Auxílio - Enfermidade</t>
  </si>
  <si>
    <t>B4</t>
  </si>
  <si>
    <t>13º Salário</t>
  </si>
  <si>
    <t>B5</t>
  </si>
  <si>
    <t>Licença Paternidade</t>
  </si>
  <si>
    <t>B6</t>
  </si>
  <si>
    <t>Faltas Justificadas</t>
  </si>
  <si>
    <t>B7</t>
  </si>
  <si>
    <t>Dias de Chuvas</t>
  </si>
  <si>
    <t>B8</t>
  </si>
  <si>
    <t>Auxilio Acidente de Trabalho</t>
  </si>
  <si>
    <t>B9</t>
  </si>
  <si>
    <t>Férias Gozadas</t>
  </si>
  <si>
    <t>B10</t>
  </si>
  <si>
    <t>Salario Maternidade</t>
  </si>
  <si>
    <t>SUB-TOTAL</t>
  </si>
  <si>
    <t xml:space="preserve">GRUPO - C </t>
  </si>
  <si>
    <t>C1</t>
  </si>
  <si>
    <t>Aviso Prévio Indenizado</t>
  </si>
  <si>
    <t>C2</t>
  </si>
  <si>
    <t>Aviso Prévio Trabalhado</t>
  </si>
  <si>
    <t>C3</t>
  </si>
  <si>
    <t>Férias Indenizadas</t>
  </si>
  <si>
    <t>C4</t>
  </si>
  <si>
    <t>Depósito Rescisão Sem Justa Causa</t>
  </si>
  <si>
    <t>C5</t>
  </si>
  <si>
    <t>Indenização Adicional</t>
  </si>
  <si>
    <t xml:space="preserve">GRUPO - D </t>
  </si>
  <si>
    <t>D1</t>
  </si>
  <si>
    <t>Reincidência de Grupo A sobre Grupo B</t>
  </si>
  <si>
    <t>D2</t>
  </si>
  <si>
    <t>Reincidência de Grupo A sobre Aviso Prévio Trabalhado e Reincidência do FGTS sobre Aviso Prévio Indenizado</t>
  </si>
  <si>
    <t>TOTAL (A+B+C+D)</t>
  </si>
  <si>
    <t>ATRIBUÍDO SÃO PAULO</t>
  </si>
  <si>
    <t>INSUMO</t>
  </si>
  <si>
    <t>37586</t>
  </si>
  <si>
    <t>PINO DE ACO COM ARRUELA CONICA, DIAMETRO ARRUELA = *23* MM E COMP HASTE = *27* MM (ACAO INDIRETA)</t>
  </si>
  <si>
    <t>CENTO</t>
  </si>
  <si>
    <t>PLACA / CHAPA DE GESSO ACARTONADO, RESISTENTE A UMIDADE (RU), COR VERDE, E = 12,5 MM, 1200 X 2400 MM (L X C)</t>
  </si>
  <si>
    <t xml:space="preserve">M2    </t>
  </si>
  <si>
    <t>COEFICIENTE DE REPRESENTATIVIDADE</t>
  </si>
  <si>
    <t>39419</t>
  </si>
  <si>
    <t>PERFIL GUIA, FORMATO U, EM ACO ZINCADO, PARA ESTRUTURA PAREDE DRYWALL, E = 0,5 MM, 70 X 3000 MM (L X C)</t>
  </si>
  <si>
    <t>39422</t>
  </si>
  <si>
    <t>PERFIL MONTANTE, FORMATO C, EM ACO ZINCADO, PARA ESTRUTURA PAREDE DRYWALL, E = 0,5 MM, 70 X 3000 MM (L X C)</t>
  </si>
  <si>
    <t>COLETADO</t>
  </si>
  <si>
    <t>39431</t>
  </si>
  <si>
    <t>FITA DE PAPEL MICROPERFURADO, 50 X 150 MM, PARA TRATAMENTO DE JUNTAS DE CHAPA DE GESSO PARA DRYWALL</t>
  </si>
  <si>
    <t>39432</t>
  </si>
  <si>
    <t>FITA DE PAPEL REFORCADA COM LAMINA DE METAL PARA REFORCO DE CANTOS DE CHAPA DE GESSO PARA DRYWALL</t>
  </si>
  <si>
    <t>39434</t>
  </si>
  <si>
    <t>MASSA DE REJUNTE EM PO PARA DRYWALL, A BASE DE GESSO, SECAGEM RAPIDA, PARA TRATAMENTO DE JUNTAS DE CHAPA DE GESSO (NECESSITA ADICAO DE AGUA)</t>
  </si>
  <si>
    <t>39435</t>
  </si>
  <si>
    <t>PARAFUSO DRY WALL, EM ACO FOSFATIZADO, CABECA TROMBETA E PONTA AGULHA (TA), COMPRIMENTO 25 MM</t>
  </si>
  <si>
    <t>39443</t>
  </si>
  <si>
    <t>PARAFUSO DRY WALL, EM ACO ZINCADO, CABECA LENTILHA E PONTA BROCA (LB), LARGURA 4,2 MM, COMPRIMENTO 13 MM</t>
  </si>
  <si>
    <t>COMPOSICAO</t>
  </si>
  <si>
    <t>88278</t>
  </si>
  <si>
    <t>MONTADOR DE ESTRUTURA METÁLICA COM ENCARGOS COMPLEMENTARES</t>
  </si>
  <si>
    <t>88316</t>
  </si>
  <si>
    <t>SERVENTE COM ENCARGOS COMPLEMENTARES</t>
  </si>
  <si>
    <t xml:space="preserve">PLACA / CHAPA DE GESSO ACARTONADO, RESISTENTE A UMIDADE (RU), COR VERDE, E = 12,5 MM, 1200 X 2400 MM (L X C)                                                                                                                                                                                                                                                                                                                                                                                              </t>
  </si>
  <si>
    <t>PERFIL CANALETA, FORMATO C, EM ACO ZINCADO, PARA ESTRUTURA FORRO DRYWALL, E = 0,5 MM, *46 X 18* (L X H), COMPRIMENTO 3 M</t>
  </si>
  <si>
    <t>PENDURAL OU PRESILHA REGULADORA, EM ACO GALVANIZADO, COM CORPO, MOLA E REBITE, PARA PERFIL TIPO CANALETA DE ESTRUTURA EM FORROS DRYWALL</t>
  </si>
  <si>
    <t>PARAFUSO ZINCADO, AUTOBROCANTE, FLANGEADO, 4,2 MM X 19 MM</t>
  </si>
  <si>
    <t>ARAME GALVANIZADO 6 BWG, D = 5,16 MM (0,157 KG/M), OU 8 BWG, D = 4,19 MM (0,101 KG/M), OU 10 BWG, D = 3,40 MM (0,0713 KG/M)</t>
  </si>
  <si>
    <t>COMPOSIÇÃO 3</t>
  </si>
  <si>
    <t>ESCAVAÇÃO MANUAL, PREPARO DE FUNDO DE VALA E REATERRO MANUAL COM COMPACTAÇÃO MECANIZADA PARA REDE DE ESGOTO ENTERRADA</t>
  </si>
  <si>
    <t>ASSENTADOR DE TUBOS COM ENCARGOS COMPLEMENTARES</t>
  </si>
  <si>
    <t>JUNTA ARGAMASSADA ENTRE TUBO DN 100 MM E O POÇO DE VISITA/ CAIXA DE CONCRETO OU ALVENARIA EM REDES DE ESGOTO. AF_01/2021</t>
  </si>
  <si>
    <t>REATERRO MANUAL DE VALAS COM COMPACTAÇÃO MECANIZADA. AF_04/2016</t>
  </si>
  <si>
    <t>PREPARO DE FUNDO DE VALA COM LARGURA MENOR QUE 1,5 M, COM CAMADA DE AREIA, LANÇAMENTO MANUAL. AF_08/2020</t>
  </si>
  <si>
    <t>COMPOSIÇÃO 4</t>
  </si>
  <si>
    <t xml:space="preserve">JANELA MAXIM AR EM ALUMINIO, 80 X 60 CM (A X L), BATENTE/REQUADRO DE 4 A 14 CM, COM VIDRO, SEM GUARNICAO/ALIZAR. FORNECIMENTO E INSTALAÇÃO. </t>
  </si>
  <si>
    <t xml:space="preserve">JANELA MAXIM AR EM ALUMINIO, 80 X 60 CM (A X L), BATENTE/REQUADRO DE 4 A 14 CM, COM VIDRO, SEM GUARNICAO/ALIZAR                                                                                                                                                                                                                                                                                                                                                                                           </t>
  </si>
  <si>
    <t xml:space="preserve">UN    </t>
  </si>
  <si>
    <t>PEDREIRO COM ENCARGOS COMPLEMENTARES</t>
  </si>
  <si>
    <t>ARGAMASSA TRAÇO 1:3 (EM VOLUME DE CIMENTO E AREIA MÉDIA ÚMIDA), PREPARO MANUAL. AF_08/2019</t>
  </si>
  <si>
    <t xml:space="preserve">GUARNICAO/MOLDURA DE ACABAMENTO PARA ESQUADRIA DE ALUMINIO ANODIZADO NATURAL, PARA 1 FACE                                                                                                                                                                                                                                                                                                                                                                                                                 </t>
  </si>
  <si>
    <t xml:space="preserve">M     </t>
  </si>
  <si>
    <t>COMPOSIÇÃO 7</t>
  </si>
  <si>
    <t>TUBO EM COBRE RÍGIDO, DN 15 MM, CLASSE A, SEM ISOLAMENTO, INSTALADO EM RAMAL E SUB-RAMAL  FORNECIMENTO E INSTALAÇÃO. AF_12/2015</t>
  </si>
  <si>
    <t>39747</t>
  </si>
  <si>
    <t>TUBO DE COBRE CLASSE "A", DN = 1/2 " (15 MM), PARA INSTALACOES DE MEDIA PRESSAO PARA GASES COMBUSTIVEIS E MEDICINAIS</t>
  </si>
  <si>
    <t>88248</t>
  </si>
  <si>
    <t>AUXILIAR DE ENCANADOR OU BOMBEIRO HIDRÁULICO COM ENCARGOS COMPLEMENTARES</t>
  </si>
  <si>
    <t>88267</t>
  </si>
  <si>
    <t>ENCANADOR OU BOMBEIRO HIDRÁULICO COM ENCARGOS COMPLEMENTARES</t>
  </si>
  <si>
    <t>12732</t>
  </si>
  <si>
    <t>SOLDA ESTANHO/COBRE PARA CONEXOES DE COBRE, FIO 2,5 MM, CARRETEL 500 GR (SEM CHUMBO)</t>
  </si>
  <si>
    <t>38383</t>
  </si>
  <si>
    <t>LIXA D'AGUA EM FOLHA, GRAO 100</t>
  </si>
  <si>
    <t>39897</t>
  </si>
  <si>
    <t>PASTA PARA SOLDA DE TUBOS E CONEXOES DE COBRE (EMBALAGEM COM 250 G)</t>
  </si>
  <si>
    <t>cotação</t>
  </si>
  <si>
    <t>TOMADA O2</t>
  </si>
  <si>
    <t>TOMADA AR COMP.</t>
  </si>
  <si>
    <t>INSTALADOR DE TUBULACOES (TUBOS/EQUIPAMENTOS)</t>
  </si>
  <si>
    <t>88243</t>
  </si>
  <si>
    <t>AJUDANTE ESPECIALIZADO COM ENCARGOS COMPLEMENTARES</t>
  </si>
  <si>
    <t>COMPOSIÇÃO 9</t>
  </si>
  <si>
    <t>PAREDE COM PLACAS CIMENTÍCIAS, PARA USO INTERNO, COM DUAS FACES SIMPLES E ESTRUTURA METÁLICA COM GUIAS SIMPLES, SEM VÃOS. AF_06/2017_P</t>
  </si>
  <si>
    <t>PLACA CIMENTICIA LISA E = 10 MM, DE 1,20 X *2,50* M (SEM AMIANTO)</t>
  </si>
  <si>
    <t>11154</t>
  </si>
  <si>
    <t>PORTA CORTA-FOGO PARA SAIDA DE EMERGENCIA, COM FECHADURA, VAO LUZ DE 90 X 210 CM, CLASSE P-90 (NBR 11742)</t>
  </si>
  <si>
    <t>88309</t>
  </si>
  <si>
    <t>88629</t>
  </si>
  <si>
    <t>TUBO EM COBRE RÍGIDO, DN 22 MM, CLASSE A, SEM ISOLAMENTO, INSTALADO EM RAMAL E SUB-RAMAL  FORNECIMENTO E INSTALAÇÃO. AF_12/2015</t>
  </si>
  <si>
    <t>39748</t>
  </si>
  <si>
    <t>TUBO DE COBRE CLASSE "A", DN = 3/4 " (22 MM), PARA INSTALACOES DE MEDIA PRESSAO PARA GASES COMBUSTIVEIS E MEDICINAIS</t>
  </si>
  <si>
    <t>COMPOSIÇÃO 12</t>
  </si>
  <si>
    <t>TUBO EM COBRE RÍGIDO, DN 28 MM, CLASSE E, SEM ISOLAMENTO, INSTALADO EM PRUMADA  FORNECIMENTO E INSTALAÇÃO. AF_12/2015</t>
  </si>
  <si>
    <t>39728</t>
  </si>
  <si>
    <t>TUBO DE COBRE CLASSE "I", DN = 1 1/2 " (42 MM), PARA INSTALACOES INDUSTRIAIS DE ALTA PRESSAO E VAPOR</t>
  </si>
  <si>
    <t>100702</t>
  </si>
  <si>
    <t>PORTA DE CORRER DE ALUMÍNIO, COM DUAS FOLHAS PARA VIDRO, INCLUSO VIDRO LISO INCOLOR, FECHADURA E PUXADOR, SEM ALIZAR. AF_12/2019</t>
  </si>
  <si>
    <t>BANCADA/TAMPO ACO INOX (AISI 304), LARGURA 60 CM, COM RODABANCA (NAO INCLUI PES DE APOIO)</t>
  </si>
  <si>
    <t>TUBO ACO GALVANIZADO COM COSTURA, CLASSE MEDIA, DN 2", E = *3,65* MM, PESO *5,10* KG/M (NBR 5580)</t>
  </si>
  <si>
    <t>73924/1</t>
  </si>
  <si>
    <t>PINTURA ESMALTE ALTO BRILHO, DUAS DEMAOS, SOBRE SUPERFICIE METALICA</t>
  </si>
  <si>
    <t>SERRALHEIRO COM ENCARGOS COMPLEMENTARES</t>
  </si>
  <si>
    <t xml:space="preserve">PARA 1 ML DE TAMPO </t>
  </si>
  <si>
    <t>COMPOSIÇÕES</t>
  </si>
  <si>
    <t>CÓDIGO</t>
  </si>
  <si>
    <t>MATERIAL</t>
  </si>
  <si>
    <t>ORIGEM</t>
  </si>
  <si>
    <t>PREÇO</t>
  </si>
  <si>
    <t>TIPO</t>
  </si>
  <si>
    <t>QTDE</t>
  </si>
  <si>
    <t>PREÇO UN</t>
  </si>
  <si>
    <t>PREÇO TOT</t>
  </si>
  <si>
    <t>-</t>
  </si>
  <si>
    <t>ELETROCALHA LISA OU PERFURADA EM CHAPA DE
AÇO GALVANIZADO, LARGURA 100 MM E ALTURA 50
MM, ESPESSURA #18</t>
  </si>
  <si>
    <t>02.INEL.ELCA.012/01</t>
  </si>
  <si>
    <t xml:space="preserve">EMENDA PARA ELETROCALHA, LISA OU
PERFURADA EM AÇO GALVANIZADO, LARGURA DE
100MM E ALTURA DE 50MM - FORNECIMENTO E
INSTALAÇÃO. </t>
  </si>
  <si>
    <t>PERFILADO DE SEÇÃO 38X76 MM PARA SUPORTE
DE ELETROCALHA LISA OU PERFURADA EM AÇO
GALVANIZADO, LARGURA 100 MM E ALTURA 50 MM. AF_07/2017</t>
  </si>
  <si>
    <t>TAMPA ELETROCALHA LARGURA 100 MM</t>
  </si>
  <si>
    <t>COMPOSIÇÃO</t>
  </si>
  <si>
    <t>AUXILIAR DE ELETRICISTA COM ENCARGOS
COMPLEMENTARES</t>
  </si>
  <si>
    <t>ELETRICISTA COM ENCARGOS COMPLEMENTARES</t>
  </si>
  <si>
    <t>COMPOSIÇÃO X</t>
  </si>
  <si>
    <t xml:space="preserve">EMENDA PARA ELETROCALHA, LISA OU
PERFURADA EM AÇO GALVANIZADO, LARGURA DE 100MM E ALTURA DE 50MM - FORNECIMENTO E INSTALAÇÃO. </t>
  </si>
  <si>
    <t>EMENDA PARA ELETROCALHA, LISA OU
PERFURADA EM AÇO GALVANIZADO, LARGURA DE 100MM E ALTURA DE 50MM - FORNECIMENTO E INSTALAÇÃO</t>
  </si>
  <si>
    <t>TALA PARA EMENDA DE ELETROCALHA LISA OU
PERFURADA</t>
  </si>
  <si>
    <t>PARAFUSO CABEÇA LENTILHA ¼” X ¾”</t>
  </si>
  <si>
    <t>ARRUELA SIMPLES ¼”</t>
  </si>
  <si>
    <t>PORCA SEXTAVADA ¼”</t>
  </si>
  <si>
    <t>ELETROCALHA LISA OU PERFURADA EM CHAPA DE
AÇO GALVANIZADO, LARGURA 200 MM E ALTURA 50
MM, ESPESSURA #18</t>
  </si>
  <si>
    <t>PERFILADO DE SEÇÃO 38X76 MM PARA SUPORTE
DE ELETROCALHA LISA OU PERFURADA EM AÇO
GALVANIZADO, LARGURA 200 MM E ALTURA 50 MM. AF_07/2017</t>
  </si>
  <si>
    <t xml:space="preserve">EMENDA PARA ELETROCALHA, LISA OU
PERFURADA EM AÇO GALVANIZADO, LARGURA DE 200MM E ALTURA DE 50MM - FORNECIMENTO E INSTALAÇÃO. </t>
  </si>
  <si>
    <t>TALA PARA EMENDA DE ELETROCALHA LISA OU PERFURADA</t>
  </si>
  <si>
    <t>SAIDA GALVANIZADA ELETROCALHA PARA ELETRODUTO 3/4”</t>
  </si>
  <si>
    <t>TE PARA ELETROCALHA, LISA OU PERFURADA EM AÇO GALVANIZADO, LARGURA DE 100MM E ALTURA DE 50MM</t>
  </si>
  <si>
    <t>CURVA HORIZONTAL 90º, PARA ELETROCALHA, LISA OU PERFURADA EM AÇO GALVANIZADO, LARGURA DE 100MM E ALTURA DE 50MM - FORNECIMENTO E
INSTALAÇÃO.</t>
  </si>
  <si>
    <t>CURVA HORIZONTAL 90º, PARA ELETROCALHA, LISA OU PERFURADA EM AÇO GALVANIZADO, LARGURA
DE 100MM E ALTURA DE 50MM</t>
  </si>
  <si>
    <t>TE PARA ELETROCALHA, LISA OU PERFURADA EM AÇO GALVANIZADO, LARGURA DE 200MM E ALTURA DE 50MM</t>
  </si>
  <si>
    <t>CURVA HORIZONTAL 90º, PARA ELETROCALHA, LISA OU PERFURADA EM AÇO GALVANIZADO, LARGURA DE 200MM E ALTURA DE 50MM - FORNECIMENTO E
INSTALAÇÃO.</t>
  </si>
  <si>
    <t>CURVA HORIZONTAL 90º, PARA ELETROCALHA, LISA OU PERFURADA EM AÇO GALVANIZADO, LARGURA
DE 200MM E ALTURA DE 50MM</t>
  </si>
  <si>
    <t>CURVA VERTICAL 90º, PARA ELETROCALHA, LISA OU PERFURADA EM AÇO GALVANIZADO, LARGURA DE 200MM E ALTURA DE 50MM - FORNECIMENTO E
INSTALAÇÃO.</t>
  </si>
  <si>
    <t>CURVA VERTICAL 90º, PARA ELETROCALHA, LISA
OU PERFURADA EM AÇO GALVANIZADO, LARGURA
DE 200MM E ALTURA DE 50MM</t>
  </si>
  <si>
    <t>CRUZETA, PARA ELETROCALHA, LISA OU PERFURADA EM AÇO GALVANIZADO, LARGURA DE 200MM E ALTURA DE 50MM</t>
  </si>
  <si>
    <t>DISPOSITIVO DR, 2 POLOS, SENSIBILIDADE DE 30 MA, CORRENTE DE 25 A, TIPO AC</t>
  </si>
  <si>
    <t>TERMINAL A COMPRESSAO EM COBRE ESTANHADO PARA CABO 6 MM2, 1 FURO E 1 COMPRESSAO, PARA PARAFUSO DE FIXACAO M6</t>
  </si>
  <si>
    <t>AUXILIAR DE ELETRICISTA COM ENCARGOS COMPLEMENTARES</t>
  </si>
  <si>
    <t>DISPOSITIVO DR, 2 POLOS, SENSIBILIDADE DE 30 MA, CORRENTE DE 40 A, TIPO AC</t>
  </si>
  <si>
    <t>LUMINÁRIA FECHADA TIPO CALHA, DE EMBUTIR</t>
  </si>
  <si>
    <t>LAMPADA LED TUBULAR BIVOLT 9/10 W, BASE G13</t>
  </si>
  <si>
    <t>COMPOSIÇÃO IE.14</t>
  </si>
  <si>
    <t>BALIZADOR LED DE PAREDE – FORNECIMENTO E INSTALAÇÃO.</t>
  </si>
  <si>
    <t>RACK FECHADO 5U COM PORTA</t>
  </si>
  <si>
    <t>CABO OPTICO CFOT-MM50-EO-06FO COG</t>
  </si>
  <si>
    <t>CURVA VERTICAL 90º, PARA ELETROCALHA, LISA OU PERFURADA EM AÇO GALVANIZADO, LARGURA DE 100MM E ALTURA DE 50MM - FORNECIMENTO E
INSTALAÇÃO.</t>
  </si>
  <si>
    <t>CURVA VERTICAL 90º, PARA ELETROCALHA, LISA
OU PERFURADA EM AÇO GALVANIZADO, LARGURA
DE 100MM E ALTURA DE 50MM</t>
  </si>
  <si>
    <t>COMPOSIÇÃO IE.19</t>
  </si>
  <si>
    <t>INSTALAÇÃO QUADRO IT MÉDICO</t>
  </si>
  <si>
    <t>ENGENHEIRO ELETRICISTA COM ENCARGOS COMPLEMENTARES</t>
  </si>
  <si>
    <t>COMPOSIÇÃO IE.20</t>
  </si>
  <si>
    <t>DISJUNTOR MONOPOLAR TIPO DIN, CORRENTE NOMINAL DE 80A - FORNECIMENTO E INSTALAÇÃO.</t>
  </si>
  <si>
    <t>DISJUNTOR TIPO DIN / IEC, MONOPOLAR DE 80A</t>
  </si>
  <si>
    <t>TERMINAL A COMPRESSAO EM COBRE ESTANHADO PARA CABO 25 MM2, 1 FURO E 1 COMPRESSAO, PARA PARAFUSO DE FIXACAO M8</t>
  </si>
  <si>
    <t>COMPOSIÇÃO IE.21</t>
  </si>
  <si>
    <t>LUMINARIA PLAFON REDONDO COM VIDRO FOSCO DIAMETRO *25* CM, PARA 1 LAMPADA, BASE E27, POTENCIA MAXIMA 40/60 W (NAO INCLUI LAMPADA)</t>
  </si>
  <si>
    <t>AS</t>
  </si>
  <si>
    <t>LAMPADA LED 10 W BIVOLT BRANCA, FORMATO TRADICIONAL (BASE E27)</t>
  </si>
  <si>
    <t>TOMADA INDUSTRIAL 3P+T 63A IP67</t>
  </si>
  <si>
    <t>COMPOSIÇÃO IE.23</t>
  </si>
  <si>
    <t>PONTO DE ILUMINAÇÃO INCLUINDO INTERRUPTOR SIMPLES, CAIXA ELÉTRICA, ELETRODUTO, CABO, RASGO, QUEBRA E CHUMBAMENTO (EXCLUINDO LUMINÁRIA E LÂMPADA). AF_01/2016</t>
  </si>
  <si>
    <t>QUEBRA EM ALVENARIA PARA INSTALAÇÃO DE CAIXA DE TOMADA (4X4 OU 4X2). AF_05/2015</t>
  </si>
  <si>
    <t>ELETRODUTO FLEXÍVEL CORRUGADO, PVC, DN 25 MM (3/4"), PARA CIRCUITOS TERMINAIS, INSTALADO EM LAJE - FORNECIMENTO E INSTALAÇÃO. AF_12/2015</t>
  </si>
  <si>
    <t>ELETRODUTO FLEXÍVEL CORRUGADO, PVC, DN 25 MM (3/4"), PARA CIRCUITOS TERMINAIS, INSTALADO EM PAREDE - FORNECIMENTO E INSTALAÇÃO. AF_12/2015</t>
  </si>
  <si>
    <t>CAIXA OCTOGONAL 3" X 3", PVC, INSTALADA EM LAJE - FORNECIMENTO E INSTALAÇÃO. AF_12/2015</t>
  </si>
  <si>
    <t>COMPOSIÇÃO IE.24</t>
  </si>
  <si>
    <t>PONTO DE ILUMINAÇÃO RESIDENCIAL INCLUINDO INTERRUPTOR PARALELO, CAIXA ELÉTRICA, ELETRODUTO, CABO, RASGO, QUEBRA E CHUMBAMENTO (EXCLUINDO LUMINÁRIA E LÂMPADA). AF_01/2016</t>
  </si>
  <si>
    <t>COMPOSIÇÃO IE.25</t>
  </si>
  <si>
    <t>PONTO DE TOMADA INCLUINDO TOMADA (2 MÓDULOS) 10A/250V, CAIXA ELÉTRICA, ELETRODUTO, CABO, RASGO, QUEBRA E CHUMBAMENTO. AF_01/2016</t>
  </si>
  <si>
    <t>TOMADA MÉDIA DE EMBUTIR (2 MÓDULOS), 2P+T 10 A, INCLUINDO SUPORTE E PLACA
- FORNECIMENTO E INSTALAÇÃO. AF_12/2015</t>
  </si>
  <si>
    <t>COMPOSIÇÃO IE.26</t>
  </si>
  <si>
    <t>TOMADA MÉDIA DE EMBUTIR (1 MÓDULO), 2P+T 20 A, INCLUINDO SUPORTE E PLACA -
FORNECIMENTO E INSTALAÇÃO. AF_12/2015</t>
  </si>
  <si>
    <t>COMPOSIÇÃO IE.27</t>
  </si>
  <si>
    <t>CABO DE COBRE FLEXÍVEL ISOLADO, 6 MM², ANTI-CHAMA 450/750 V, PARA CIRCUITOS TERMINAIS - FORNECIMENTO E INSTALAÇÃO. AF_12/2015</t>
  </si>
  <si>
    <t>SUPORTE PARAFUSADO COM PLACA DE ENCAIXE 4" X 2" ALTO (2,00 M DO PISO) PARA PONTO ELÉTRICO - FORNECIMENTO E INSTALAÇÃO. AF_12/2015</t>
  </si>
  <si>
    <t>QUADRO DE DISTRIBUIÇÃO DE ENERGIA EM CHAPA DE AÇO GALVANIZADO, DE EMBUTOR, COM BARRAMENTO TRIFÁSICO, PARA 60 DISJUNTORES DIN - FORNECIMENTO E INSTALAÇÃO.</t>
  </si>
  <si>
    <t xml:space="preserve">QUADRO DE DISTRIBUICAO COM BARRAMENTO TRIFASICO, DE EMBUTIR, EM CHAPA DE ACO GALVANIZADO, PARA 60 DISJUNTORES DIN, 225 A   </t>
  </si>
  <si>
    <t>ARGAMASSA TRAÇO 1:1:6 (EM VOLUME DE CIMENTO, CAL E AREIA MÉDIA ÚMIDA) PARA EMBOÇO/MASSA ÚNICA/ASSENTAMENTO DE ALVENARIA DE VEDAÇÃO, PREPARO MANUAL. AF_08/2019</t>
  </si>
  <si>
    <t>ELETROCALHA LISA OU PERFURADA EM CHAPA DE
AÇO GALVANIZADO, LARGURA 50 MM E ALTURA 50
MM, ESPESSURA #18</t>
  </si>
  <si>
    <t xml:space="preserve">EMENDA PARA ELETROCALHA, LISA OU
PERFURADA EM AÇO GALVANIZADO, LARGURA DE
50MM E ALTURA DE 50MM - FORNECIMENTO E
INSTALAÇÃO. </t>
  </si>
  <si>
    <t>PERFILADO DE SEÇÃO 38X76 MM PARA SUPORTE
DE ELETROCALHA LISA OU PERFURADA EM AÇO
GALVANIZADO, LARGURA 50 MM E ALTURA 50 MM. AF_07/2017</t>
  </si>
  <si>
    <t>TAMPA ELETROCALHA LARGURA 50 MM</t>
  </si>
  <si>
    <t xml:space="preserve">EMENDA PARA ELETROCALHA, LISA OU
PERFURADA EM AÇO GALVANIZADO, LARGURA DE 50MM E ALTURA DE 50MM - FORNECIMENTO E INSTALAÇÃO. </t>
  </si>
  <si>
    <t>EMENDA PARA ELETROCALHA, LISA OU
PERFURADA EM AÇO GALVANIZADO, LARGURA DE 50MM E ALTURA DE 50MM - FORNECIMENTO E INSTALAÇÃO</t>
  </si>
  <si>
    <t>CURVA VERTICAL 90º, PARA ELETROCALHA, LISA OU PERFURADA EM AÇO GALVANIZADO, LARGURA DE 50MM E ALTURA DE 50MM - FORNECIMENTO E
INSTALAÇÃO.</t>
  </si>
  <si>
    <t>CURVA VERTICAL 90º, PARA ELETROCALHA, LISA
OU PERFURADA EM AÇO GALVANIZADO, LARGURA
DE 50MM E ALTURA DE 50MM</t>
  </si>
  <si>
    <t>CURVA HORIZONTAL 90º, PARA ELETROCALHA, LISA OU PERFURADA EM AÇO GALVANIZADO, LARGURA DE 50MM E ALTURA DE 50MM - FORNECIMENTO E
INSTALAÇÃO.</t>
  </si>
  <si>
    <t>CURVA HORIZONTAL 90º, PARA ELETROCALHA, LISA OU PERFURADA EM AÇO GALVANIZADO, LARGURA
DE 50MM E ALTURA DE 50MM</t>
  </si>
  <si>
    <t>CONDULETE DE ALUMINIO TIPO LR, PARA ELETRODUTO ROSCAVEL DE 4", COM TAMPA CEGA</t>
  </si>
  <si>
    <t>BUCHA DE NYLON SEM ABA S6, COM PARAFUSO DE 4,20 X 40 MM EM ACO ZINCADO COM ROSCA SOBERBA, CABECA CHATA E FENDA PHILLIPS</t>
  </si>
  <si>
    <t>CRUZETA, PARA ELETROCALHA, LISA OU PERFURADA EM AÇO GALVANIZADO, LARGURA DE 100MM E ALTURA DE 50MM</t>
  </si>
  <si>
    <t>DISJUNTOR TRIPOLAR DE 50A</t>
  </si>
  <si>
    <t>DISJUNTOR TRIPOLAR DE 100A</t>
  </si>
  <si>
    <t>PLANILHA DE CÁLCULO DE BDI</t>
  </si>
  <si>
    <t>Parâmetro referenciais das rubricas que compõem o BDI:</t>
  </si>
  <si>
    <t>TIPOS DE OBRA</t>
  </si>
  <si>
    <t>ADMINISTRAÇÃO CENTRAL</t>
  </si>
  <si>
    <t>SEGURO + GARANTIA</t>
  </si>
  <si>
    <t>RISCO</t>
  </si>
  <si>
    <t>Tipo de Obra: 2 - Construção de Rodovias e ferrovias</t>
  </si>
  <si>
    <t>1º Quartil</t>
  </si>
  <si>
    <t>Médio</t>
  </si>
  <si>
    <t>3º Quartil</t>
  </si>
  <si>
    <t>DETALHAMENTO DO BDI</t>
  </si>
  <si>
    <t>CONSTRUÇÃO DE EDIFÍCIOS</t>
  </si>
  <si>
    <t>CONSTRUÇÃO DE RODOVIAS E FERROVIAS</t>
  </si>
  <si>
    <t>Descrição dos Serviços</t>
  </si>
  <si>
    <t>%</t>
  </si>
  <si>
    <t>CONSTRUÇÃO DE REDES DE ABASTECIMENTO DE ÁGUA, COLETA DE ESGOTO E CONSTRUÇÕES CORRELATAS</t>
  </si>
  <si>
    <t>PV</t>
  </si>
  <si>
    <t>CD</t>
  </si>
  <si>
    <t>CONSTRUÇÃO E MANUTENÇÃO DE ESTAÇÕES E REDES DE DISTRIBUIÇÃO DE ENERGIA ELÉTRICA</t>
  </si>
  <si>
    <t>OBRAS PORTUÁRIAS, MARÍTIMAS E FLUVIAIS</t>
  </si>
  <si>
    <t>ADMINISTRAÇÃO CENTRAL - AC</t>
  </si>
  <si>
    <t xml:space="preserve"> </t>
  </si>
  <si>
    <t>ESCRITÓRIO CENTRAL</t>
  </si>
  <si>
    <t>DESPESA FINANCEIRA</t>
  </si>
  <si>
    <t>LUCRO</t>
  </si>
  <si>
    <t>1.2</t>
  </si>
  <si>
    <t>VIAGENS</t>
  </si>
  <si>
    <t>1.3</t>
  </si>
  <si>
    <t>OUTROS</t>
  </si>
  <si>
    <t>IMPOSTOS E TAXAS - I</t>
  </si>
  <si>
    <t>ISS</t>
  </si>
  <si>
    <t>PIS</t>
  </si>
  <si>
    <t>Cofins</t>
  </si>
  <si>
    <t>Desoneração</t>
  </si>
  <si>
    <t>TAXA DE RISCO</t>
  </si>
  <si>
    <r>
      <rPr>
        <b/>
        <sz val="11"/>
        <color rgb="FF000000"/>
        <rFont val="Calibri"/>
        <family val="2"/>
      </rPr>
      <t>OBS:</t>
    </r>
    <r>
      <rPr>
        <sz val="11"/>
        <color rgb="FF000000"/>
        <rFont val="Calibri"/>
        <family val="2"/>
      </rPr>
      <t xml:space="preserve"> Estão sujeitos ao regime cumulativo para fins de incidência da contribuição para o PIS-Pasep e da Cofins, às alíquotas de 0,65% e de 3%, respectivamente.  Quanto ao ISS, a alíquota e o local do recolhimento variará de acordo com o sistema tributário da empresa, local e tipo do serviço.</t>
    </r>
  </si>
  <si>
    <t>SEGURO - S</t>
  </si>
  <si>
    <t>RISCO - R</t>
  </si>
  <si>
    <t>GARANTIA - G</t>
  </si>
  <si>
    <t>DESPESAS FINANCEIRAS - DF</t>
  </si>
  <si>
    <t>LUCRO - L</t>
  </si>
  <si>
    <t>BDI - CALCULADO</t>
  </si>
  <si>
    <t>BDI (CALCULADO):</t>
  </si>
  <si>
    <t>Para o preenchimento da proposta deve-se utilizar o valor de ISS da Prefeitura Local.</t>
  </si>
  <si>
    <t xml:space="preserve">BDI CALCULADO CONFORME ACÓRDÃO Nº 2369/2011 – TCU </t>
  </si>
  <si>
    <t>Fórmula de Cálculo do BDI</t>
  </si>
  <si>
    <t>REFORMA DO CME DO HOSPITAL GETÚLIO VARGAS</t>
  </si>
  <si>
    <t>CRONOGRAMA FÍSICO-FINANCEIRO</t>
  </si>
  <si>
    <t>D E S C R I Ç Ã O</t>
  </si>
  <si>
    <t>TOTAL</t>
  </si>
  <si>
    <t>ETAPA 1</t>
  </si>
  <si>
    <t>ETAPA 2</t>
  </si>
  <si>
    <t>ETAPA 3</t>
  </si>
  <si>
    <t>ETAPA 4</t>
  </si>
  <si>
    <t>TOTAL ACUMULADO</t>
  </si>
</sst>
</file>

<file path=xl/styles.xml><?xml version="1.0" encoding="utf-8"?>
<styleSheet xmlns="http://schemas.openxmlformats.org/spreadsheetml/2006/main">
  <numFmts count="6">
    <numFmt numFmtId="164" formatCode="_-&quot;R$ &quot;* #,##0.00_-;&quot;-R$ &quot;* #,##0.00_-;_-&quot;R$ &quot;* \-??_-;_-@_-"/>
    <numFmt numFmtId="165" formatCode="_(&quot;R$ &quot;* #,##0.00_);_(&quot;R$ &quot;* \(#,##0.00\);_(&quot;R$ &quot;* \-??_);_(@_)"/>
    <numFmt numFmtId="166" formatCode="_-* #,##0.00_-;\-* #,##0.00_-;_-* \-??_-;_-@_-"/>
    <numFmt numFmtId="167" formatCode="&quot;R$ &quot;#,##0.00"/>
    <numFmt numFmtId="168" formatCode="_(* #,##0.00_);_(* \(#,##0.00\);_(* \-??_);_(@_)"/>
    <numFmt numFmtId="169" formatCode="0.0%"/>
  </numFmts>
  <fonts count="24">
    <font>
      <sz val="11"/>
      <color rgb="FF000000"/>
      <name val="Calibri"/>
      <family val="2"/>
    </font>
    <font>
      <sz val="10"/>
      <name val="Arial"/>
      <family val="2"/>
    </font>
    <font>
      <sz val="14"/>
      <color rgb="FF000000"/>
      <name val="Calibri"/>
      <family val="2"/>
    </font>
    <font>
      <b/>
      <sz val="28"/>
      <color rgb="FF000000"/>
      <name val="Calibri"/>
      <family val="2"/>
    </font>
    <font>
      <sz val="24"/>
      <color rgb="FF000000"/>
      <name val="Calibri"/>
      <family val="2"/>
    </font>
    <font>
      <b/>
      <sz val="14"/>
      <color rgb="FF000000"/>
      <name val="Calibri"/>
      <family val="2"/>
    </font>
    <font>
      <sz val="14"/>
      <name val="Calibri"/>
      <family val="2"/>
    </font>
    <font>
      <sz val="12"/>
      <color rgb="FF000000"/>
      <name val="Calibri"/>
      <family val="2"/>
    </font>
    <font>
      <b/>
      <sz val="11"/>
      <name val="Arial"/>
      <family val="2"/>
    </font>
    <font>
      <b/>
      <sz val="10"/>
      <name val="Arial"/>
      <family val="2"/>
    </font>
    <font>
      <sz val="10"/>
      <color rgb="FF000000"/>
      <name val="Arial"/>
      <family val="2"/>
    </font>
    <font>
      <sz val="10"/>
      <name val="Courier New"/>
      <family val="3"/>
    </font>
    <font>
      <sz val="11"/>
      <color rgb="FF800000"/>
      <name val="Calibri"/>
      <family val="2"/>
    </font>
    <font>
      <sz val="10"/>
      <color rgb="FF000000"/>
      <name val="Calibri"/>
      <family val="2"/>
    </font>
    <font>
      <sz val="10"/>
      <name val="Calibri"/>
      <family val="2"/>
    </font>
    <font>
      <b/>
      <sz val="10"/>
      <color rgb="FF000000"/>
      <name val="Calibri"/>
      <family val="2"/>
    </font>
    <font>
      <sz val="8"/>
      <color rgb="FF000000"/>
      <name val="Arial"/>
      <family val="2"/>
    </font>
    <font>
      <b/>
      <sz val="16"/>
      <name val="Arial"/>
      <family val="2"/>
    </font>
    <font>
      <sz val="11"/>
      <color rgb="FFFFFFFF"/>
      <name val="Calibri"/>
      <family val="2"/>
    </font>
    <font>
      <b/>
      <sz val="11"/>
      <color rgb="FF000000"/>
      <name val="Calibri"/>
      <family val="2"/>
    </font>
    <font>
      <b/>
      <sz val="11"/>
      <color rgb="FFFFFFFF"/>
      <name val="Calibri"/>
      <family val="2"/>
    </font>
    <font>
      <b/>
      <sz val="14"/>
      <name val="Arial"/>
      <family val="2"/>
    </font>
    <font>
      <b/>
      <sz val="8"/>
      <name val="Arial"/>
      <family val="2"/>
    </font>
    <font>
      <b/>
      <sz val="12"/>
      <name val="Times New Roman"/>
      <family val="1"/>
    </font>
  </fonts>
  <fills count="12">
    <fill>
      <patternFill/>
    </fill>
    <fill>
      <patternFill patternType="gray125"/>
    </fill>
    <fill>
      <patternFill patternType="solid">
        <fgColor rgb="FFFFCC99"/>
        <bgColor indexed="64"/>
      </patternFill>
    </fill>
    <fill>
      <patternFill patternType="solid">
        <fgColor rgb="FFD9D9D9"/>
        <bgColor indexed="64"/>
      </patternFill>
    </fill>
    <fill>
      <patternFill patternType="solid">
        <fgColor rgb="FFA5A5A5"/>
        <bgColor indexed="64"/>
      </patternFill>
    </fill>
    <fill>
      <patternFill patternType="solid">
        <fgColor rgb="FFD8D8D8"/>
        <bgColor indexed="64"/>
      </patternFill>
    </fill>
    <fill>
      <patternFill patternType="solid">
        <fgColor rgb="FFBFBFBF"/>
        <bgColor indexed="64"/>
      </patternFill>
    </fill>
    <fill>
      <patternFill patternType="solid">
        <fgColor rgb="FFFFFFFF"/>
        <bgColor indexed="64"/>
      </patternFill>
    </fill>
    <fill>
      <patternFill patternType="solid">
        <fgColor rgb="FFFFFF00"/>
        <bgColor indexed="64"/>
      </patternFill>
    </fill>
    <fill>
      <patternFill patternType="solid">
        <fgColor rgb="FFFFF200"/>
        <bgColor indexed="64"/>
      </patternFill>
    </fill>
    <fill>
      <patternFill patternType="solid">
        <fgColor rgb="FF000000"/>
        <bgColor indexed="64"/>
      </patternFill>
    </fill>
    <fill>
      <patternFill patternType="solid">
        <fgColor rgb="FFA6A6A6"/>
        <bgColor indexed="64"/>
      </patternFill>
    </fill>
  </fills>
  <borders count="32">
    <border>
      <left/>
      <right/>
      <top/>
      <bottom/>
      <diagonal/>
    </border>
    <border>
      <left style="medium"/>
      <right style="medium"/>
      <top style="medium"/>
      <bottom style="medium"/>
    </border>
    <border>
      <left style="medium"/>
      <right style="thin"/>
      <top style="thin"/>
      <bottom style="medium"/>
    </border>
    <border>
      <left style="medium"/>
      <right style="medium"/>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hair"/>
      <right style="hair"/>
      <top style="hair"/>
      <bottom style="hair"/>
    </border>
    <border>
      <left/>
      <right style="medium"/>
      <top style="medium"/>
      <bottom style="medium"/>
    </border>
    <border>
      <left style="medium"/>
      <right style="thin"/>
      <top style="medium"/>
      <bottom style="medium"/>
    </border>
    <border>
      <left style="thin"/>
      <right style="thin"/>
      <top style="medium"/>
      <bottom style="medium"/>
    </border>
    <border>
      <left/>
      <right/>
      <top style="medium"/>
      <bottom/>
    </border>
    <border>
      <left/>
      <right style="medium"/>
      <top style="medium"/>
      <bottom/>
    </border>
    <border>
      <left style="thin"/>
      <right style="thin"/>
      <top style="medium"/>
      <bottom/>
    </border>
    <border>
      <left style="thin"/>
      <right/>
      <top style="medium"/>
      <bottom/>
    </border>
    <border>
      <left style="medium"/>
      <right/>
      <top/>
      <bottom/>
    </border>
    <border>
      <left style="medium"/>
      <right style="medium"/>
      <top style="medium"/>
      <bottom/>
    </border>
    <border>
      <left style="medium"/>
      <right style="thin"/>
      <top style="medium"/>
      <bottom/>
    </border>
    <border>
      <left style="thin"/>
      <right style="thin"/>
      <top/>
      <bottom style="medium"/>
    </border>
    <border>
      <left style="thin"/>
      <right/>
      <top/>
      <bottom style="medium"/>
    </border>
    <border>
      <left/>
      <right style="medium"/>
      <top/>
      <bottom/>
    </border>
    <border>
      <left style="medium"/>
      <right style="thin"/>
      <top/>
      <bottom/>
    </border>
    <border>
      <left style="thin"/>
      <right style="thin"/>
      <top/>
      <bottom/>
    </border>
    <border>
      <left style="thin"/>
      <right/>
      <top/>
      <bottom/>
    </border>
    <border>
      <left/>
      <right/>
      <top style="medium"/>
      <bottom style="medium"/>
    </border>
    <border>
      <left/>
      <right/>
      <top/>
      <bottom style="medium"/>
    </border>
    <border>
      <left/>
      <right style="medium"/>
      <top/>
      <bottom style="medium"/>
    </border>
    <border>
      <left style="thin"/>
      <right/>
      <top style="medium"/>
      <bottom style="medium"/>
    </border>
    <border>
      <left style="medium"/>
      <right/>
      <top style="medium"/>
      <bottom/>
    </border>
    <border>
      <left style="medium"/>
      <right/>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0" fillId="0" borderId="0" applyBorder="0" applyProtection="0">
      <alignment/>
    </xf>
    <xf numFmtId="164" fontId="0" fillId="0" borderId="0" applyBorder="0" applyProtection="0">
      <alignment/>
    </xf>
    <xf numFmtId="9" fontId="1" fillId="0" borderId="0" applyBorder="0" applyProtection="0">
      <alignment/>
    </xf>
    <xf numFmtId="0" fontId="12" fillId="2" borderId="0">
      <alignment/>
      <protection/>
    </xf>
  </cellStyleXfs>
  <cellXfs count="224">
    <xf numFmtId="0" fontId="0" fillId="0" borderId="0" xfId="0"/>
    <xf numFmtId="0" fontId="19"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5" fillId="0" borderId="0" xfId="0" applyFont="1" applyBorder="1" applyAlignment="1">
      <alignment horizontal="center" vertical="center" wrapText="1"/>
    </xf>
    <xf numFmtId="0" fontId="9" fillId="4" borderId="2" xfId="0" applyFont="1" applyFill="1" applyBorder="1" applyAlignment="1">
      <alignment horizontal="center"/>
    </xf>
    <xf numFmtId="0" fontId="8" fillId="5" borderId="3" xfId="0" applyFont="1" applyFill="1" applyBorder="1" applyAlignment="1">
      <alignment horizontal="center" wrapText="1"/>
    </xf>
    <xf numFmtId="165" fontId="2" fillId="0" borderId="0" xfId="21" applyNumberFormat="1" applyFont="1" applyBorder="1" applyAlignment="1" applyProtection="1">
      <alignment horizontal="center" vertical="center"/>
      <protection/>
    </xf>
    <xf numFmtId="0" fontId="5" fillId="3" borderId="4" xfId="0" applyFont="1" applyFill="1" applyBorder="1" applyAlignment="1">
      <alignment horizontal="center" vertical="center"/>
    </xf>
    <xf numFmtId="0" fontId="5" fillId="6" borderId="4" xfId="0" applyFont="1" applyFill="1" applyBorder="1" applyAlignment="1">
      <alignment horizontal="center" vertical="center"/>
    </xf>
    <xf numFmtId="0" fontId="2" fillId="0" borderId="4" xfId="0" applyFont="1" applyBorder="1" applyAlignment="1">
      <alignment horizontal="left" vertical="center" wrapText="1"/>
    </xf>
    <xf numFmtId="166" fontId="5" fillId="0" borderId="4" xfId="0" applyNumberFormat="1" applyFont="1" applyBorder="1" applyAlignment="1">
      <alignment horizontal="center" vertical="center" wrapText="1"/>
    </xf>
    <xf numFmtId="0" fontId="5" fillId="0" borderId="4" xfId="0" applyFont="1" applyBorder="1" applyAlignment="1">
      <alignment horizontal="left" vertical="center" wrapText="1"/>
    </xf>
    <xf numFmtId="0" fontId="2" fillId="0" borderId="4" xfId="0" applyFont="1" applyBorder="1" applyAlignment="1">
      <alignment horizontal="center"/>
    </xf>
    <xf numFmtId="0" fontId="4" fillId="0" borderId="4"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center"/>
    </xf>
    <xf numFmtId="0" fontId="2" fillId="0" borderId="0" xfId="0" applyFont="1"/>
    <xf numFmtId="2" fontId="2" fillId="7" borderId="0" xfId="0" applyNumberFormat="1" applyFont="1" applyFill="1" applyAlignment="1">
      <alignment vertical="center"/>
    </xf>
    <xf numFmtId="0" fontId="2" fillId="0" borderId="0" xfId="0" applyFont="1" applyAlignment="1">
      <alignment horizontal="center" vertical="center"/>
    </xf>
    <xf numFmtId="165" fontId="2" fillId="0" borderId="0" xfId="21" applyNumberFormat="1" applyFont="1" applyBorder="1" applyAlignment="1" applyProtection="1">
      <alignment horizontal="right" vertical="center"/>
      <protection/>
    </xf>
    <xf numFmtId="0" fontId="2" fillId="0" borderId="0" xfId="0" applyFont="1" applyAlignment="1">
      <alignment vertical="center"/>
    </xf>
    <xf numFmtId="0" fontId="2" fillId="0" borderId="4" xfId="0" applyFont="1" applyBorder="1" applyAlignment="1">
      <alignment horizontal="center"/>
    </xf>
    <xf numFmtId="166" fontId="2" fillId="0" borderId="0" xfId="0" applyNumberFormat="1" applyFont="1"/>
    <xf numFmtId="0" fontId="5" fillId="0" borderId="4" xfId="0" applyFont="1" applyBorder="1" applyAlignment="1">
      <alignment horizontal="center" vertical="center"/>
    </xf>
    <xf numFmtId="2" fontId="5" fillId="7" borderId="4" xfId="0" applyNumberFormat="1" applyFont="1" applyFill="1" applyBorder="1" applyAlignment="1">
      <alignment horizontal="center" vertical="center" wrapText="1"/>
    </xf>
    <xf numFmtId="165" fontId="5" fillId="0" borderId="4" xfId="21" applyNumberFormat="1" applyFont="1" applyBorder="1" applyAlignment="1" applyProtection="1">
      <alignment horizontal="right" vertical="center"/>
      <protection/>
    </xf>
    <xf numFmtId="0" fontId="5" fillId="0" borderId="4" xfId="0" applyFont="1" applyBorder="1" applyAlignment="1">
      <alignment horizontal="center" vertical="center" wrapText="1"/>
    </xf>
    <xf numFmtId="0" fontId="5" fillId="0" borderId="0" xfId="0" applyFont="1" applyAlignment="1">
      <alignment vertical="center"/>
    </xf>
    <xf numFmtId="0" fontId="5" fillId="0" borderId="4" xfId="0" applyFont="1" applyBorder="1" applyAlignment="1">
      <alignment vertical="center" wrapText="1"/>
    </xf>
    <xf numFmtId="0" fontId="2" fillId="0" borderId="4" xfId="0" applyFont="1" applyBorder="1" applyAlignment="1">
      <alignment horizontal="center" vertical="center"/>
    </xf>
    <xf numFmtId="0" fontId="6" fillId="0" borderId="4" xfId="0" applyFont="1" applyBorder="1" applyAlignment="1">
      <alignment vertical="center" wrapText="1"/>
    </xf>
    <xf numFmtId="2" fontId="2" fillId="0" borderId="4" xfId="0" applyNumberFormat="1" applyFont="1" applyBorder="1" applyAlignment="1">
      <alignment vertical="center"/>
    </xf>
    <xf numFmtId="165" fontId="2" fillId="0" borderId="4" xfId="21" applyNumberFormat="1" applyFont="1" applyBorder="1" applyAlignment="1" applyProtection="1">
      <alignment horizontal="right" vertical="center"/>
      <protection/>
    </xf>
    <xf numFmtId="167" fontId="2" fillId="0" borderId="4" xfId="0" applyNumberFormat="1" applyFont="1" applyBorder="1" applyAlignment="1">
      <alignment horizontal="distributed" vertical="center"/>
    </xf>
    <xf numFmtId="0" fontId="5" fillId="3" borderId="4" xfId="0" applyFont="1" applyFill="1" applyBorder="1" applyAlignment="1">
      <alignment horizontal="center" vertical="center"/>
    </xf>
    <xf numFmtId="167" fontId="5" fillId="3" borderId="4" xfId="0" applyNumberFormat="1" applyFont="1" applyFill="1" applyBorder="1" applyAlignment="1">
      <alignment horizontal="distributed" vertical="center"/>
    </xf>
    <xf numFmtId="0" fontId="2" fillId="0" borderId="4" xfId="0" applyFont="1" applyBorder="1" applyAlignment="1">
      <alignment vertical="center" wrapText="1"/>
    </xf>
    <xf numFmtId="0" fontId="5" fillId="7" borderId="4" xfId="0" applyFont="1" applyFill="1" applyBorder="1" applyAlignment="1">
      <alignment horizontal="center" vertical="center"/>
    </xf>
    <xf numFmtId="0" fontId="5" fillId="7" borderId="0" xfId="0" applyFont="1" applyFill="1" applyAlignment="1">
      <alignment vertical="center"/>
    </xf>
    <xf numFmtId="2" fontId="2" fillId="0" borderId="4" xfId="0" applyNumberFormat="1" applyFont="1" applyBorder="1" applyAlignment="1">
      <alignment vertical="center" wrapText="1"/>
    </xf>
    <xf numFmtId="0" fontId="2" fillId="0" borderId="4" xfId="0" applyFont="1" applyBorder="1" applyAlignment="1">
      <alignment horizontal="center" vertical="center" wrapText="1"/>
    </xf>
    <xf numFmtId="0" fontId="2" fillId="7" borderId="0" xfId="0" applyFont="1" applyFill="1" applyAlignment="1">
      <alignment vertical="center"/>
    </xf>
    <xf numFmtId="0" fontId="2" fillId="7" borderId="4" xfId="0" applyFont="1" applyFill="1" applyBorder="1" applyAlignment="1">
      <alignment horizontal="center" vertical="center"/>
    </xf>
    <xf numFmtId="0" fontId="2" fillId="7" borderId="4" xfId="0" applyFont="1" applyFill="1" applyBorder="1" applyAlignment="1">
      <alignment vertical="center" wrapText="1"/>
    </xf>
    <xf numFmtId="2" fontId="2" fillId="7" borderId="4" xfId="0" applyNumberFormat="1" applyFont="1" applyFill="1" applyBorder="1" applyAlignment="1">
      <alignment vertical="center" wrapText="1"/>
    </xf>
    <xf numFmtId="0" fontId="2" fillId="7" borderId="4" xfId="0" applyFont="1" applyFill="1" applyBorder="1" applyAlignment="1">
      <alignment horizontal="center" vertical="center" wrapText="1"/>
    </xf>
    <xf numFmtId="165" fontId="2" fillId="7" borderId="4" xfId="21" applyNumberFormat="1" applyFont="1" applyFill="1" applyBorder="1" applyAlignment="1" applyProtection="1">
      <alignment horizontal="right" vertical="center"/>
      <protection/>
    </xf>
    <xf numFmtId="2" fontId="2" fillId="7" borderId="4" xfId="0" applyNumberFormat="1" applyFont="1" applyFill="1" applyBorder="1" applyAlignment="1">
      <alignment vertical="center"/>
    </xf>
    <xf numFmtId="0" fontId="5" fillId="7" borderId="4" xfId="0" applyFont="1" applyFill="1" applyBorder="1" applyAlignment="1">
      <alignment vertical="center" wrapText="1"/>
    </xf>
    <xf numFmtId="0" fontId="6" fillId="7" borderId="4" xfId="0" applyFont="1" applyFill="1" applyBorder="1" applyAlignment="1">
      <alignment vertical="center" wrapText="1"/>
    </xf>
    <xf numFmtId="0" fontId="6" fillId="7" borderId="4" xfId="0" applyFont="1" applyFill="1" applyBorder="1" applyAlignment="1">
      <alignment horizontal="center" vertical="center"/>
    </xf>
    <xf numFmtId="2" fontId="5" fillId="3" borderId="4" xfId="0" applyNumberFormat="1" applyFont="1" applyFill="1" applyBorder="1" applyAlignment="1">
      <alignment vertical="center"/>
    </xf>
    <xf numFmtId="165" fontId="5" fillId="3" borderId="4" xfId="21" applyNumberFormat="1" applyFont="1" applyFill="1" applyBorder="1" applyAlignment="1" applyProtection="1">
      <alignment horizontal="right" vertical="center"/>
      <protection/>
    </xf>
    <xf numFmtId="2" fontId="2" fillId="0" borderId="4" xfId="0" applyNumberFormat="1" applyFont="1" applyBorder="1" applyAlignment="1">
      <alignment horizontal="center"/>
    </xf>
    <xf numFmtId="0" fontId="7" fillId="0" borderId="4" xfId="0" applyFont="1" applyBorder="1" applyAlignment="1">
      <alignment horizontal="center" vertical="center" wrapText="1"/>
    </xf>
    <xf numFmtId="0" fontId="2" fillId="8" borderId="0" xfId="0" applyFont="1" applyFill="1" applyAlignment="1">
      <alignment vertical="center"/>
    </xf>
    <xf numFmtId="167" fontId="2" fillId="7" borderId="4" xfId="0" applyNumberFormat="1" applyFont="1" applyFill="1" applyBorder="1" applyAlignment="1">
      <alignment horizontal="distributed" vertical="center"/>
    </xf>
    <xf numFmtId="0" fontId="7" fillId="7" borderId="4" xfId="0" applyFont="1" applyFill="1" applyBorder="1" applyAlignment="1">
      <alignment horizontal="center" vertical="center" wrapText="1"/>
    </xf>
    <xf numFmtId="0" fontId="6" fillId="0" borderId="4" xfId="0" applyFont="1" applyBorder="1" applyAlignment="1">
      <alignment horizontal="center" vertical="center"/>
    </xf>
    <xf numFmtId="2" fontId="2" fillId="3" borderId="4" xfId="0" applyNumberFormat="1" applyFont="1" applyFill="1" applyBorder="1" applyAlignment="1">
      <alignment vertical="center"/>
    </xf>
    <xf numFmtId="0" fontId="2" fillId="3" borderId="4" xfId="0" applyFont="1" applyFill="1" applyBorder="1" applyAlignment="1">
      <alignment horizontal="center" vertical="center"/>
    </xf>
    <xf numFmtId="165" fontId="2" fillId="3" borderId="4" xfId="21" applyNumberFormat="1" applyFont="1" applyFill="1" applyBorder="1" applyAlignment="1" applyProtection="1">
      <alignment horizontal="right" vertical="center"/>
      <protection/>
    </xf>
    <xf numFmtId="167" fontId="2" fillId="3" borderId="4" xfId="0" applyNumberFormat="1" applyFont="1" applyFill="1" applyBorder="1" applyAlignment="1">
      <alignment horizontal="distributed" vertical="center"/>
    </xf>
    <xf numFmtId="0" fontId="5" fillId="3" borderId="4" xfId="0" applyFont="1" applyFill="1" applyBorder="1" applyAlignment="1">
      <alignment vertical="center"/>
    </xf>
    <xf numFmtId="166" fontId="5" fillId="3" borderId="4" xfId="20" applyFont="1" applyFill="1" applyBorder="1" applyAlignment="1" applyProtection="1">
      <alignment horizontal="distributed" vertical="center"/>
      <protection/>
    </xf>
    <xf numFmtId="4" fontId="2" fillId="0" borderId="0" xfId="21" applyNumberFormat="1" applyFont="1" applyBorder="1" applyAlignment="1" applyProtection="1">
      <alignment horizontal="right" vertical="center"/>
      <protection/>
    </xf>
    <xf numFmtId="165" fontId="2" fillId="0" borderId="0" xfId="21" applyNumberFormat="1" applyFont="1" applyBorder="1" applyAlignment="1" applyProtection="1">
      <alignment vertical="center"/>
      <protection/>
    </xf>
    <xf numFmtId="0" fontId="1" fillId="0" borderId="5" xfId="0" applyFont="1" applyBorder="1"/>
    <xf numFmtId="0" fontId="1" fillId="0" borderId="4" xfId="0" applyFont="1" applyBorder="1"/>
    <xf numFmtId="0" fontId="1" fillId="0" borderId="6" xfId="0" applyFont="1" applyBorder="1"/>
    <xf numFmtId="0" fontId="9" fillId="4" borderId="5" xfId="0" applyFont="1" applyFill="1" applyBorder="1"/>
    <xf numFmtId="0" fontId="9" fillId="4" borderId="4" xfId="0" applyFont="1" applyFill="1" applyBorder="1" applyAlignment="1">
      <alignment horizontal="center"/>
    </xf>
    <xf numFmtId="0" fontId="9" fillId="4" borderId="6" xfId="0" applyFont="1" applyFill="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9" fillId="0" borderId="5" xfId="0" applyFont="1" applyBorder="1"/>
    <xf numFmtId="10" fontId="9" fillId="0" borderId="6" xfId="0" applyNumberFormat="1" applyFont="1" applyBorder="1" applyAlignment="1" applyProtection="1">
      <alignment/>
      <protection/>
    </xf>
    <xf numFmtId="10" fontId="10" fillId="0" borderId="4" xfId="0" applyNumberFormat="1" applyFont="1" applyBorder="1" applyAlignment="1" applyProtection="1">
      <alignment horizontal="center"/>
      <protection/>
    </xf>
    <xf numFmtId="10" fontId="10" fillId="0" borderId="6" xfId="0" applyNumberFormat="1" applyFont="1" applyBorder="1" applyAlignment="1" applyProtection="1">
      <alignment horizontal="center"/>
      <protection/>
    </xf>
    <xf numFmtId="0" fontId="9" fillId="0" borderId="4" xfId="0" applyFont="1" applyBorder="1"/>
    <xf numFmtId="10" fontId="9" fillId="0" borderId="4" xfId="0" applyNumberFormat="1" applyFont="1" applyBorder="1" applyAlignment="1" applyProtection="1">
      <alignment horizontal="center"/>
      <protection/>
    </xf>
    <xf numFmtId="10" fontId="9" fillId="0" borderId="6" xfId="0" applyNumberFormat="1" applyFont="1" applyBorder="1" applyAlignment="1" applyProtection="1">
      <alignment horizontal="center"/>
      <protection/>
    </xf>
    <xf numFmtId="0" fontId="1" fillId="0" borderId="4" xfId="0" applyFont="1" applyBorder="1" applyAlignment="1">
      <alignment horizontal="justify"/>
    </xf>
    <xf numFmtId="0" fontId="1" fillId="0" borderId="5" xfId="0" applyFont="1" applyBorder="1" applyAlignment="1">
      <alignment vertical="center"/>
    </xf>
    <xf numFmtId="10" fontId="10" fillId="0" borderId="4" xfId="0" applyNumberFormat="1" applyFont="1" applyBorder="1" applyAlignment="1" applyProtection="1">
      <alignment horizontal="center" vertical="center"/>
      <protection/>
    </xf>
    <xf numFmtId="10" fontId="10" fillId="0" borderId="6" xfId="0" applyNumberFormat="1" applyFont="1" applyBorder="1" applyAlignment="1" applyProtection="1">
      <alignment horizontal="center" vertical="center"/>
      <protection/>
    </xf>
    <xf numFmtId="10" fontId="9" fillId="0" borderId="4" xfId="0" applyNumberFormat="1" applyFont="1" applyBorder="1" applyAlignment="1">
      <alignment horizontal="center"/>
    </xf>
    <xf numFmtId="10" fontId="9" fillId="0" borderId="6" xfId="0" applyNumberFormat="1" applyFont="1" applyBorder="1" applyAlignment="1">
      <alignment horizontal="center"/>
    </xf>
    <xf numFmtId="10" fontId="9" fillId="4" borderId="7" xfId="0" applyNumberFormat="1" applyFont="1" applyFill="1" applyBorder="1" applyAlignment="1">
      <alignment horizontal="center"/>
    </xf>
    <xf numFmtId="10" fontId="9" fillId="4" borderId="8" xfId="0" applyNumberFormat="1" applyFont="1" applyFill="1" applyBorder="1" applyAlignment="1">
      <alignment horizontal="center"/>
    </xf>
    <xf numFmtId="0" fontId="11" fillId="0" borderId="0" xfId="0" applyFont="1" applyAlignment="1">
      <alignment horizontal="left"/>
    </xf>
    <xf numFmtId="2" fontId="11" fillId="0" borderId="0" xfId="0" applyNumberFormat="1" applyFont="1" applyAlignment="1">
      <alignment horizontal="left"/>
    </xf>
    <xf numFmtId="0" fontId="11" fillId="0" borderId="0" xfId="0" applyFont="1" applyAlignment="1">
      <alignment horizontal="right"/>
    </xf>
    <xf numFmtId="2" fontId="11" fillId="0" borderId="0" xfId="0" applyNumberFormat="1" applyFont="1" applyAlignment="1">
      <alignment horizontal="right"/>
    </xf>
    <xf numFmtId="4" fontId="11" fillId="0" borderId="0" xfId="0" applyNumberFormat="1" applyFont="1" applyAlignment="1">
      <alignment horizontal="left"/>
    </xf>
    <xf numFmtId="0" fontId="11" fillId="0" borderId="0" xfId="23" applyFont="1" applyFill="1" applyAlignment="1">
      <alignment horizontal="left"/>
      <protection/>
    </xf>
    <xf numFmtId="2" fontId="11" fillId="0" borderId="0" xfId="23" applyNumberFormat="1" applyFont="1" applyFill="1" applyAlignment="1">
      <alignment horizontal="left"/>
      <protection/>
    </xf>
    <xf numFmtId="0" fontId="11" fillId="0" borderId="0" xfId="23" applyFont="1" applyFill="1" applyAlignment="1">
      <alignment horizontal="center"/>
      <protection/>
    </xf>
    <xf numFmtId="0" fontId="11" fillId="0" borderId="0" xfId="23" applyFont="1" applyFill="1" applyAlignment="1">
      <alignment horizontal="right"/>
      <protection/>
    </xf>
    <xf numFmtId="2" fontId="11" fillId="0" borderId="0" xfId="23" applyNumberFormat="1" applyFont="1" applyFill="1" applyAlignment="1">
      <alignment horizontal="right"/>
      <protection/>
    </xf>
    <xf numFmtId="0" fontId="11" fillId="0" borderId="0" xfId="0" applyFont="1" applyAlignment="1">
      <alignment horizontal="center"/>
    </xf>
    <xf numFmtId="4" fontId="11" fillId="0" borderId="0" xfId="0" applyNumberFormat="1" applyFont="1" applyAlignment="1">
      <alignment horizontal="right"/>
    </xf>
    <xf numFmtId="2" fontId="0" fillId="0" borderId="0" xfId="0" applyNumberFormat="1"/>
    <xf numFmtId="0" fontId="13" fillId="0" borderId="0" xfId="0" applyFont="1"/>
    <xf numFmtId="2" fontId="14" fillId="0" borderId="9" xfId="0" applyNumberFormat="1" applyFont="1" applyBorder="1" applyAlignment="1">
      <alignment horizontal="center" vertical="center"/>
    </xf>
    <xf numFmtId="0" fontId="15" fillId="0" borderId="0" xfId="0" applyFont="1" applyAlignment="1">
      <alignment horizontal="center"/>
    </xf>
    <xf numFmtId="0" fontId="15" fillId="0" borderId="9" xfId="0" applyFont="1" applyBorder="1" applyAlignment="1">
      <alignment horizontal="center"/>
    </xf>
    <xf numFmtId="0" fontId="15" fillId="0" borderId="9" xfId="0" applyFont="1" applyBorder="1" applyAlignment="1">
      <alignment horizontal="center" wrapText="1"/>
    </xf>
    <xf numFmtId="0" fontId="13" fillId="0" borderId="9" xfId="0" applyFont="1" applyBorder="1" applyAlignment="1">
      <alignment horizontal="center"/>
    </xf>
    <xf numFmtId="0" fontId="14" fillId="0" borderId="9" xfId="0" applyFont="1" applyBorder="1" applyAlignment="1">
      <alignment horizontal="center" vertical="center" wrapText="1"/>
    </xf>
    <xf numFmtId="0" fontId="14" fillId="0" borderId="9" xfId="0" applyFont="1" applyBorder="1" applyAlignment="1">
      <alignment horizontal="left" vertical="center" wrapText="1"/>
    </xf>
    <xf numFmtId="0" fontId="14" fillId="0" borderId="9" xfId="0" applyFont="1" applyBorder="1" applyAlignment="1">
      <alignment horizontal="center" vertical="center"/>
    </xf>
    <xf numFmtId="0" fontId="13" fillId="0" borderId="9" xfId="0" applyFont="1" applyBorder="1" applyAlignment="1">
      <alignment horizontal="center" wrapText="1"/>
    </xf>
    <xf numFmtId="0" fontId="13" fillId="0" borderId="9" xfId="0" applyFont="1" applyBorder="1"/>
    <xf numFmtId="2" fontId="13" fillId="0" borderId="9" xfId="0" applyNumberFormat="1" applyFont="1" applyBorder="1"/>
    <xf numFmtId="0" fontId="13" fillId="0" borderId="9" xfId="0" applyFont="1" applyBorder="1" applyAlignment="1">
      <alignment horizontal="left" wrapText="1"/>
    </xf>
    <xf numFmtId="0" fontId="13" fillId="0" borderId="9" xfId="0" applyFont="1" applyBorder="1" applyAlignment="1">
      <alignment horizontal="left" vertical="center" wrapText="1"/>
    </xf>
    <xf numFmtId="0" fontId="16" fillId="0" borderId="9" xfId="0" applyFont="1" applyBorder="1" applyAlignment="1">
      <alignment horizontal="center" vertical="center" wrapText="1"/>
    </xf>
    <xf numFmtId="0" fontId="16" fillId="0" borderId="9" xfId="0" applyFont="1" applyBorder="1" applyAlignment="1">
      <alignment horizontal="left" vertical="center" wrapText="1"/>
    </xf>
    <xf numFmtId="0" fontId="13" fillId="0" borderId="4" xfId="0" applyFont="1" applyBorder="1" applyAlignment="1">
      <alignment horizontal="left"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2" fontId="13" fillId="0" borderId="9" xfId="0" applyNumberFormat="1" applyFont="1" applyBorder="1" applyAlignment="1">
      <alignment horizontal="center" vertical="center"/>
    </xf>
    <xf numFmtId="2" fontId="14" fillId="9" borderId="9" xfId="0" applyNumberFormat="1" applyFont="1" applyFill="1" applyBorder="1" applyAlignment="1">
      <alignment horizontal="center" vertical="center"/>
    </xf>
    <xf numFmtId="0" fontId="18" fillId="10" borderId="0" xfId="0" applyFont="1" applyFill="1"/>
    <xf numFmtId="0" fontId="18" fillId="7" borderId="0" xfId="0" applyFont="1" applyFill="1"/>
    <xf numFmtId="0" fontId="19" fillId="3" borderId="10" xfId="0" applyFont="1" applyFill="1" applyBorder="1" applyAlignment="1">
      <alignment horizontal="center"/>
    </xf>
    <xf numFmtId="0" fontId="19" fillId="3" borderId="11" xfId="0" applyFont="1" applyFill="1" applyBorder="1"/>
    <xf numFmtId="0" fontId="19" fillId="3" borderId="12" xfId="0" applyFont="1" applyFill="1" applyBorder="1"/>
    <xf numFmtId="0" fontId="19" fillId="3" borderId="10" xfId="0" applyFont="1" applyFill="1" applyBorder="1"/>
    <xf numFmtId="0" fontId="20" fillId="10" borderId="0" xfId="0" applyFont="1" applyFill="1"/>
    <xf numFmtId="0" fontId="18" fillId="10" borderId="13" xfId="0" applyFont="1" applyFill="1" applyBorder="1"/>
    <xf numFmtId="0" fontId="18" fillId="10" borderId="14" xfId="0" applyFont="1" applyFill="1" applyBorder="1"/>
    <xf numFmtId="0" fontId="0" fillId="0" borderId="1" xfId="0" applyFont="1" applyBorder="1"/>
    <xf numFmtId="10" fontId="0" fillId="0" borderId="11" xfId="0" applyNumberFormat="1" applyBorder="1" applyAlignment="1">
      <alignment horizontal="center" vertical="center"/>
    </xf>
    <xf numFmtId="10" fontId="0" fillId="0" borderId="12" xfId="0" applyNumberFormat="1" applyBorder="1" applyAlignment="1">
      <alignment horizontal="center" vertical="center"/>
    </xf>
    <xf numFmtId="10" fontId="0" fillId="0" borderId="10" xfId="0" applyNumberFormat="1" applyBorder="1" applyAlignment="1">
      <alignment horizontal="center"/>
    </xf>
    <xf numFmtId="10" fontId="0" fillId="0" borderId="11" xfId="0" applyNumberFormat="1" applyBorder="1" applyAlignment="1">
      <alignment horizontal="center"/>
    </xf>
    <xf numFmtId="10" fontId="0" fillId="0" borderId="12" xfId="0" applyNumberFormat="1" applyBorder="1" applyAlignment="1">
      <alignment horizontal="center"/>
    </xf>
    <xf numFmtId="0" fontId="0" fillId="0" borderId="0" xfId="0" applyAlignment="1">
      <alignment vertical="center"/>
    </xf>
    <xf numFmtId="0" fontId="0" fillId="7" borderId="15" xfId="0" applyFont="1" applyFill="1" applyBorder="1" applyAlignment="1">
      <alignment horizontal="center" vertical="center"/>
    </xf>
    <xf numFmtId="0" fontId="0" fillId="7" borderId="16" xfId="0" applyFont="1" applyFill="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0" fillId="6" borderId="13" xfId="0" applyFill="1" applyBorder="1"/>
    <xf numFmtId="0" fontId="0" fillId="6" borderId="14" xfId="0" applyFill="1" applyBorder="1"/>
    <xf numFmtId="0" fontId="0" fillId="7" borderId="18" xfId="0" applyFont="1" applyFill="1" applyBorder="1" applyAlignment="1">
      <alignment vertical="center" wrapText="1"/>
    </xf>
    <xf numFmtId="10" fontId="0" fillId="0" borderId="19" xfId="0" applyNumberFormat="1" applyBorder="1" applyAlignment="1">
      <alignment horizontal="center" vertical="center"/>
    </xf>
    <xf numFmtId="10" fontId="0" fillId="0" borderId="15" xfId="0" applyNumberFormat="1" applyBorder="1" applyAlignment="1">
      <alignment horizontal="center" vertical="center"/>
    </xf>
    <xf numFmtId="10" fontId="0" fillId="0" borderId="14" xfId="0" applyNumberFormat="1" applyBorder="1" applyAlignment="1">
      <alignment horizontal="center" vertical="center"/>
    </xf>
    <xf numFmtId="0" fontId="9" fillId="7" borderId="20" xfId="0" applyFont="1" applyFill="1" applyBorder="1" applyAlignment="1">
      <alignment horizontal="center" vertical="center"/>
    </xf>
    <xf numFmtId="0" fontId="9" fillId="7" borderId="21" xfId="0" applyFont="1" applyFill="1" applyBorder="1" applyAlignment="1">
      <alignment horizontal="center" vertical="center"/>
    </xf>
    <xf numFmtId="0" fontId="0" fillId="6" borderId="0" xfId="0" applyFill="1" applyBorder="1"/>
    <xf numFmtId="0" fontId="0" fillId="6" borderId="22" xfId="0" applyFill="1" applyBorder="1"/>
    <xf numFmtId="0" fontId="0" fillId="7" borderId="18" xfId="0" applyFont="1" applyFill="1" applyBorder="1" applyAlignment="1">
      <alignment wrapText="1"/>
    </xf>
    <xf numFmtId="0" fontId="9" fillId="0" borderId="23" xfId="0" applyFont="1" applyBorder="1" applyAlignment="1">
      <alignment horizontal="center" vertical="center"/>
    </xf>
    <xf numFmtId="0" fontId="0" fillId="0" borderId="24" xfId="0"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0" fillId="0" borderId="11" xfId="0" applyBorder="1" applyAlignment="1">
      <alignment horizontal="center"/>
    </xf>
    <xf numFmtId="0" fontId="9" fillId="3" borderId="23" xfId="0" applyFont="1" applyFill="1" applyBorder="1" applyAlignment="1">
      <alignment horizontal="center" vertical="center"/>
    </xf>
    <xf numFmtId="0" fontId="9" fillId="3" borderId="24" xfId="0" applyFont="1" applyFill="1" applyBorder="1" applyAlignment="1">
      <alignment vertical="center"/>
    </xf>
    <xf numFmtId="166" fontId="9" fillId="3" borderId="24" xfId="0" applyNumberFormat="1" applyFont="1" applyFill="1" applyBorder="1" applyAlignment="1">
      <alignment horizontal="right" vertical="center"/>
    </xf>
    <xf numFmtId="166" fontId="9" fillId="3" borderId="25" xfId="0" applyNumberFormat="1" applyFont="1" applyFill="1" applyBorder="1" applyAlignment="1">
      <alignment horizontal="right" vertical="center"/>
    </xf>
    <xf numFmtId="0" fontId="0" fillId="0" borderId="17" xfId="0" applyBorder="1" applyAlignment="1">
      <alignment vertical="center"/>
    </xf>
    <xf numFmtId="4" fontId="9" fillId="0" borderId="0" xfId="0" applyNumberFormat="1"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vertical="center"/>
    </xf>
    <xf numFmtId="166" fontId="0" fillId="0" borderId="24" xfId="0" applyNumberFormat="1" applyFont="1" applyBorder="1" applyAlignment="1">
      <alignment vertical="center"/>
    </xf>
    <xf numFmtId="166" fontId="0" fillId="0" borderId="25" xfId="0" applyNumberFormat="1" applyFont="1" applyBorder="1" applyAlignment="1">
      <alignment vertical="center"/>
    </xf>
    <xf numFmtId="4" fontId="0" fillId="0" borderId="17" xfId="0" applyNumberFormat="1" applyFont="1" applyBorder="1" applyAlignment="1">
      <alignment vertical="center"/>
    </xf>
    <xf numFmtId="0" fontId="0" fillId="0" borderId="0" xfId="0" applyBorder="1" applyAlignment="1">
      <alignment vertical="center"/>
    </xf>
    <xf numFmtId="0" fontId="19" fillId="3" borderId="11" xfId="0" applyFont="1" applyFill="1" applyBorder="1" applyAlignment="1">
      <alignment horizontal="center"/>
    </xf>
    <xf numFmtId="0" fontId="19" fillId="3" borderId="12" xfId="0" applyFont="1" applyFill="1" applyBorder="1" applyAlignment="1">
      <alignment horizontal="center"/>
    </xf>
    <xf numFmtId="0" fontId="19" fillId="3" borderId="26" xfId="0" applyFont="1" applyFill="1" applyBorder="1" applyAlignment="1">
      <alignment horizontal="center"/>
    </xf>
    <xf numFmtId="10" fontId="0" fillId="0" borderId="26" xfId="0" applyNumberFormat="1" applyBorder="1" applyAlignment="1">
      <alignment horizontal="center"/>
    </xf>
    <xf numFmtId="0" fontId="0" fillId="0" borderId="23" xfId="0" applyFont="1" applyBorder="1" applyAlignment="1">
      <alignment horizontal="right" vertical="center"/>
    </xf>
    <xf numFmtId="166" fontId="9" fillId="3" borderId="24" xfId="0" applyNumberFormat="1" applyFont="1" applyFill="1" applyBorder="1" applyAlignment="1">
      <alignment vertical="center"/>
    </xf>
    <xf numFmtId="166" fontId="9" fillId="3" borderId="25" xfId="0" applyNumberFormat="1" applyFont="1" applyFill="1" applyBorder="1" applyAlignment="1">
      <alignment vertical="center"/>
    </xf>
    <xf numFmtId="10" fontId="0" fillId="0" borderId="13" xfId="0" applyNumberFormat="1" applyBorder="1" applyAlignment="1">
      <alignment horizontal="center" vertical="center"/>
    </xf>
    <xf numFmtId="0" fontId="0" fillId="0" borderId="24" xfId="0" applyFont="1" applyBorder="1" applyAlignment="1">
      <alignment horizontal="left" vertical="center"/>
    </xf>
    <xf numFmtId="0" fontId="0" fillId="6" borderId="27" xfId="0" applyFill="1" applyBorder="1"/>
    <xf numFmtId="0" fontId="0" fillId="6" borderId="28" xfId="0" applyFill="1" applyBorder="1"/>
    <xf numFmtId="166" fontId="0" fillId="0" borderId="24" xfId="0" applyNumberFormat="1" applyBorder="1" applyAlignment="1">
      <alignment horizontal="right" vertical="center"/>
    </xf>
    <xf numFmtId="4" fontId="0" fillId="0" borderId="0" xfId="0" applyNumberFormat="1" applyFont="1" applyBorder="1" applyAlignment="1">
      <alignment vertical="center"/>
    </xf>
    <xf numFmtId="166" fontId="0" fillId="3" borderId="24" xfId="0" applyNumberFormat="1" applyFont="1" applyFill="1" applyBorder="1" applyAlignment="1">
      <alignment vertical="center"/>
    </xf>
    <xf numFmtId="166" fontId="9" fillId="3" borderId="0" xfId="0" applyNumberFormat="1" applyFont="1" applyFill="1" applyBorder="1" applyAlignment="1">
      <alignment vertical="center"/>
    </xf>
    <xf numFmtId="2" fontId="0" fillId="0" borderId="24" xfId="0" applyNumberFormat="1" applyFont="1" applyBorder="1" applyAlignment="1">
      <alignment vertical="center"/>
    </xf>
    <xf numFmtId="2" fontId="0" fillId="0" borderId="25" xfId="0" applyNumberFormat="1" applyFont="1" applyBorder="1" applyAlignment="1">
      <alignment vertical="center"/>
    </xf>
    <xf numFmtId="0" fontId="0" fillId="6" borderId="11" xfId="0" applyFont="1" applyFill="1" applyBorder="1" applyAlignment="1">
      <alignment horizontal="right" vertical="center"/>
    </xf>
    <xf numFmtId="0" fontId="9" fillId="6" borderId="12" xfId="0" applyFont="1" applyFill="1" applyBorder="1" applyAlignment="1">
      <alignment vertical="center"/>
    </xf>
    <xf numFmtId="2" fontId="9" fillId="6" borderId="12" xfId="0" applyNumberFormat="1" applyFont="1" applyFill="1" applyBorder="1" applyAlignment="1">
      <alignment vertical="center"/>
    </xf>
    <xf numFmtId="2" fontId="9" fillId="6" borderId="29" xfId="0" applyNumberFormat="1" applyFont="1" applyFill="1" applyBorder="1" applyAlignment="1">
      <alignment vertical="center"/>
    </xf>
    <xf numFmtId="4" fontId="0" fillId="0" borderId="17" xfId="0" applyNumberFormat="1" applyBorder="1" applyAlignment="1">
      <alignment vertical="center"/>
    </xf>
    <xf numFmtId="0" fontId="21" fillId="0" borderId="0" xfId="0" applyFont="1" applyBorder="1" applyAlignment="1">
      <alignment vertical="center"/>
    </xf>
    <xf numFmtId="166" fontId="21" fillId="0" borderId="0" xfId="0" applyNumberFormat="1" applyFont="1" applyAlignment="1">
      <alignment horizontal="center" vertical="center"/>
    </xf>
    <xf numFmtId="0" fontId="23" fillId="0" borderId="0" xfId="0" applyFont="1" applyAlignment="1">
      <alignment vertical="center"/>
    </xf>
    <xf numFmtId="0" fontId="18" fillId="10" borderId="30" xfId="0" applyFont="1" applyFill="1" applyBorder="1"/>
    <xf numFmtId="0" fontId="0" fillId="0" borderId="0" xfId="0" applyFont="1" applyAlignment="1" applyProtection="1">
      <alignment vertical="center"/>
      <protection/>
    </xf>
    <xf numFmtId="9" fontId="0" fillId="0" borderId="0" xfId="22" applyFont="1" applyBorder="1" applyAlignment="1" applyProtection="1">
      <alignment vertical="center"/>
      <protection/>
    </xf>
    <xf numFmtId="168" fontId="0" fillId="0" borderId="0" xfId="20" applyNumberFormat="1" applyFont="1" applyBorder="1" applyAlignment="1" applyProtection="1">
      <alignment vertical="center"/>
      <protection/>
    </xf>
    <xf numFmtId="0" fontId="0" fillId="11" borderId="4" xfId="0" applyFont="1" applyFill="1" applyBorder="1" applyAlignment="1" applyProtection="1">
      <alignment vertical="center"/>
      <protection/>
    </xf>
    <xf numFmtId="0" fontId="0" fillId="11" borderId="4" xfId="0" applyFont="1" applyFill="1" applyBorder="1" applyAlignment="1" applyProtection="1">
      <alignment horizontal="center" vertical="center"/>
      <protection/>
    </xf>
    <xf numFmtId="0" fontId="11" fillId="0" borderId="4" xfId="0" applyFont="1" applyBorder="1" applyAlignment="1">
      <alignment horizontal="left" vertical="center" wrapText="1"/>
    </xf>
    <xf numFmtId="167" fontId="0" fillId="0" borderId="4" xfId="20" applyNumberFormat="1" applyFont="1" applyBorder="1" applyAlignment="1" applyProtection="1">
      <alignment vertical="center"/>
      <protection/>
    </xf>
    <xf numFmtId="9" fontId="0" fillId="0" borderId="4" xfId="22" applyFont="1" applyBorder="1" applyAlignment="1" applyProtection="1">
      <alignment vertical="center"/>
      <protection/>
    </xf>
    <xf numFmtId="168" fontId="0" fillId="0" borderId="4" xfId="20" applyNumberFormat="1" applyFont="1" applyBorder="1" applyAlignment="1" applyProtection="1">
      <alignment vertical="center"/>
      <protection/>
    </xf>
    <xf numFmtId="169" fontId="0" fillId="0" borderId="4" xfId="22" applyNumberFormat="1" applyFont="1" applyBorder="1" applyAlignment="1" applyProtection="1">
      <alignment vertical="center"/>
      <protection/>
    </xf>
    <xf numFmtId="167" fontId="0" fillId="11" borderId="4" xfId="0" applyNumberFormat="1" applyFill="1" applyBorder="1" applyAlignment="1" applyProtection="1">
      <alignment vertical="center"/>
      <protection/>
    </xf>
    <xf numFmtId="9" fontId="0" fillId="11" borderId="4" xfId="22" applyFont="1" applyFill="1" applyBorder="1" applyAlignment="1" applyProtection="1">
      <alignment vertical="center"/>
      <protection/>
    </xf>
    <xf numFmtId="168" fontId="0" fillId="11" borderId="4" xfId="20" applyNumberFormat="1" applyFont="1" applyFill="1" applyBorder="1" applyAlignment="1" applyProtection="1">
      <alignment vertical="center"/>
      <protection/>
    </xf>
    <xf numFmtId="0" fontId="0" fillId="11" borderId="4" xfId="0" applyFill="1" applyBorder="1" applyAlignment="1" applyProtection="1">
      <alignment vertical="center"/>
      <protection/>
    </xf>
    <xf numFmtId="0" fontId="19" fillId="3" borderId="1" xfId="0" applyFont="1" applyFill="1" applyBorder="1" applyAlignment="1">
      <alignment horizontal="center"/>
    </xf>
    <xf numFmtId="0" fontId="19" fillId="3" borderId="10" xfId="0" applyFont="1" applyFill="1" applyBorder="1" applyAlignment="1">
      <alignment horizontal="center"/>
    </xf>
    <xf numFmtId="0" fontId="9" fillId="7" borderId="11" xfId="0" applyFont="1" applyFill="1" applyBorder="1" applyAlignment="1">
      <alignment horizontal="center" vertical="center"/>
    </xf>
    <xf numFmtId="0" fontId="9" fillId="7" borderId="12" xfId="0" applyFont="1" applyFill="1" applyBorder="1" applyAlignment="1">
      <alignment horizontal="center" vertical="center"/>
    </xf>
    <xf numFmtId="0" fontId="19" fillId="3" borderId="31" xfId="0" applyFont="1" applyFill="1" applyBorder="1" applyAlignment="1">
      <alignment horizontal="center"/>
    </xf>
    <xf numFmtId="0" fontId="0" fillId="0" borderId="1" xfId="0" applyFont="1" applyBorder="1" applyAlignment="1">
      <alignment horizontal="left"/>
    </xf>
    <xf numFmtId="0" fontId="0" fillId="7" borderId="1" xfId="0" applyFont="1" applyFill="1" applyBorder="1" applyAlignment="1">
      <alignment horizontal="left" vertical="top" wrapText="1"/>
    </xf>
    <xf numFmtId="0" fontId="19" fillId="0" borderId="1" xfId="0" applyFont="1" applyBorder="1" applyAlignment="1">
      <alignment vertical="top" wrapText="1"/>
    </xf>
    <xf numFmtId="0" fontId="21" fillId="0" borderId="0" xfId="0" applyFont="1" applyBorder="1" applyAlignment="1">
      <alignment horizontal="center" vertical="center"/>
    </xf>
    <xf numFmtId="0" fontId="0" fillId="0" borderId="0" xfId="0" applyFont="1" applyBorder="1" applyAlignment="1">
      <alignment vertical="center"/>
    </xf>
    <xf numFmtId="0" fontId="22" fillId="0" borderId="0" xfId="0" applyFont="1" applyBorder="1" applyAlignment="1">
      <alignment horizontal="left" vertical="center"/>
    </xf>
    <xf numFmtId="9" fontId="0" fillId="11" borderId="4" xfId="22" applyFont="1" applyFill="1" applyBorder="1" applyAlignment="1" applyProtection="1">
      <alignment horizontal="center" vertical="center"/>
      <protection/>
    </xf>
  </cellXfs>
  <cellStyles count="10">
    <cellStyle name="Normal" xfId="0"/>
    <cellStyle name="Percent" xfId="15"/>
    <cellStyle name="Currency" xfId="16"/>
    <cellStyle name="Currency [0]" xfId="17"/>
    <cellStyle name="Comma" xfId="18"/>
    <cellStyle name="Comma [0]" xfId="19"/>
    <cellStyle name="Separador de milhares" xfId="20"/>
    <cellStyle name="Moeda" xfId="21"/>
    <cellStyle name="Porcentagem" xfId="22"/>
    <cellStyle name="Texto Explicativo"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A6A6A6"/>
      <rgbColor rgb="00993366"/>
      <rgbColor rgb="00FFFFCC"/>
      <rgbColor rgb="00CCFFFF"/>
      <rgbColor rgb="00660066"/>
      <rgbColor rgb="00FF8080"/>
      <rgbColor rgb="000066CC"/>
      <rgbColor rgb="00D8D8D8"/>
      <rgbColor rgb="00000080"/>
      <rgbColor rgb="00FF00FF"/>
      <rgbColor rgb="00FFF200"/>
      <rgbColor rgb="0000FFFF"/>
      <rgbColor rgb="00800080"/>
      <rgbColor rgb="00800000"/>
      <rgbColor rgb="00008080"/>
      <rgbColor rgb="000000FF"/>
      <rgbColor rgb="0000CCFF"/>
      <rgbColor rgb="00CCFFFF"/>
      <rgbColor rgb="00D9D9D9"/>
      <rgbColor rgb="00FFFF99"/>
      <rgbColor rgb="0099CCFF"/>
      <rgbColor rgb="00FF99CC"/>
      <rgbColor rgb="00CC99FF"/>
      <rgbColor rgb="00FFCC99"/>
      <rgbColor rgb="003366FF"/>
      <rgbColor rgb="0033CCCC"/>
      <rgbColor rgb="0099CC00"/>
      <rgbColor rgb="00FFCC00"/>
      <rgbColor rgb="00FF9900"/>
      <rgbColor rgb="00FF6600"/>
      <rgbColor rgb="00666699"/>
      <rgbColor rgb="00A5A5A5"/>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39</xdr:row>
      <xdr:rowOff>0</xdr:rowOff>
    </xdr:from>
    <xdr:to>
      <xdr:col>3</xdr:col>
      <xdr:colOff>0</xdr:colOff>
      <xdr:row>42</xdr:row>
      <xdr:rowOff>9525</xdr:rowOff>
    </xdr:to>
    <xdr:pic>
      <xdr:nvPicPr>
        <xdr:cNvPr id="2" name="Imagem 1"/>
        <xdr:cNvPicPr preferRelativeResize="1">
          <a:picLocks noChangeAspect="1"/>
        </xdr:cNvPicPr>
      </xdr:nvPicPr>
      <xdr:blipFill>
        <a:blip r:embed="rId1"/>
        <a:stretch>
          <a:fillRect/>
        </a:stretch>
      </xdr:blipFill>
      <xdr:spPr>
        <a:xfrm>
          <a:off x="581025" y="7896225"/>
          <a:ext cx="3019425" cy="581025"/>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Z231"/>
  <sheetViews>
    <sheetView zoomScale="70" zoomScaleNormal="70" workbookViewId="0" topLeftCell="A1">
      <pane ySplit="11" topLeftCell="A24" activePane="bottomLeft" state="frozen"/>
      <selection pane="bottomLeft" activeCell="H225" sqref="H225"/>
    </sheetView>
  </sheetViews>
  <sheetFormatPr defaultColWidth="9.140625" defaultRowHeight="15"/>
  <cols>
    <col min="1" max="1" width="8.00390625" style="15" customWidth="1"/>
    <col min="2" max="2" width="23.00390625" style="15" customWidth="1"/>
    <col min="3" max="3" width="129.140625" style="16" customWidth="1"/>
    <col min="4" max="4" width="22.00390625" style="17" customWidth="1"/>
    <col min="5" max="5" width="8.57421875" style="18" customWidth="1"/>
    <col min="6" max="6" width="19.8515625" style="19" customWidth="1"/>
    <col min="7" max="7" width="24.8515625" style="20" customWidth="1"/>
    <col min="8" max="8" width="22.421875" style="20" customWidth="1"/>
    <col min="9" max="9" width="9.140625" style="16" customWidth="1"/>
    <col min="10" max="10" width="12.57421875" style="16" customWidth="1"/>
    <col min="11" max="1025" width="9.140625" style="16" customWidth="1"/>
  </cols>
  <sheetData>
    <row r="1" spans="1:8" ht="18.75" customHeight="1">
      <c r="A1" s="14" t="s">
        <v>0</v>
      </c>
      <c r="B1" s="14"/>
      <c r="C1" s="14"/>
      <c r="D1" s="14"/>
      <c r="E1" s="14"/>
      <c r="F1" s="14"/>
      <c r="G1" s="14"/>
      <c r="H1" s="14"/>
    </row>
    <row r="2" spans="1:8" ht="18.75" customHeight="1">
      <c r="A2" s="14"/>
      <c r="B2" s="14"/>
      <c r="C2" s="14"/>
      <c r="D2" s="14"/>
      <c r="E2" s="14"/>
      <c r="F2" s="14"/>
      <c r="G2" s="14"/>
      <c r="H2" s="14"/>
    </row>
    <row r="3" spans="1:8" ht="36" customHeight="1">
      <c r="A3" s="14"/>
      <c r="B3" s="14"/>
      <c r="C3" s="14"/>
      <c r="D3" s="14"/>
      <c r="E3" s="14"/>
      <c r="F3" s="14"/>
      <c r="G3" s="14"/>
      <c r="H3" s="14"/>
    </row>
    <row r="4" spans="1:8" ht="31.5" customHeight="1">
      <c r="A4" s="13" t="s">
        <v>1</v>
      </c>
      <c r="B4" s="13"/>
      <c r="C4" s="13"/>
      <c r="D4" s="13"/>
      <c r="E4" s="13"/>
      <c r="F4" s="13"/>
      <c r="G4" s="13"/>
      <c r="H4" s="13"/>
    </row>
    <row r="5" spans="1:8" ht="18.75" customHeight="1">
      <c r="A5" s="13"/>
      <c r="B5" s="13"/>
      <c r="C5" s="13"/>
      <c r="D5" s="13"/>
      <c r="E5" s="13"/>
      <c r="F5" s="13"/>
      <c r="G5" s="13"/>
      <c r="H5" s="13"/>
    </row>
    <row r="6" spans="1:8" ht="18.75" customHeight="1">
      <c r="A6" s="12"/>
      <c r="B6" s="11" t="s">
        <v>2</v>
      </c>
      <c r="C6" s="11"/>
      <c r="D6" s="11"/>
      <c r="E6" s="11"/>
      <c r="F6" s="10"/>
      <c r="G6" s="10"/>
      <c r="H6" s="10"/>
    </row>
    <row r="7" spans="1:10" ht="18.75" customHeight="1">
      <c r="A7" s="12"/>
      <c r="B7" s="9" t="s">
        <v>3</v>
      </c>
      <c r="C7" s="9"/>
      <c r="D7" s="9"/>
      <c r="E7" s="9"/>
      <c r="F7" s="10"/>
      <c r="G7" s="10"/>
      <c r="H7" s="10"/>
      <c r="J7" s="22"/>
    </row>
    <row r="8" spans="1:8" ht="18.75" customHeight="1">
      <c r="A8" s="12"/>
      <c r="B8" s="9" t="s">
        <v>4</v>
      </c>
      <c r="C8" s="9"/>
      <c r="D8" s="9"/>
      <c r="E8" s="9"/>
      <c r="F8" s="10"/>
      <c r="G8" s="10"/>
      <c r="H8" s="10"/>
    </row>
    <row r="9" spans="1:8" ht="18.75" customHeight="1">
      <c r="A9" s="12"/>
      <c r="B9" s="9" t="s">
        <v>5</v>
      </c>
      <c r="C9" s="9"/>
      <c r="D9" s="9"/>
      <c r="E9" s="9"/>
      <c r="F9" s="10"/>
      <c r="G9" s="10"/>
      <c r="H9" s="10"/>
    </row>
    <row r="10" spans="1:8" s="20" customFormat="1" ht="15">
      <c r="A10" s="8" t="s">
        <v>1</v>
      </c>
      <c r="B10" s="8"/>
      <c r="C10" s="8"/>
      <c r="D10" s="8"/>
      <c r="E10" s="8"/>
      <c r="F10" s="8"/>
      <c r="G10" s="8"/>
      <c r="H10" s="8"/>
    </row>
    <row r="11" spans="1:8" s="27" customFormat="1" ht="37.5">
      <c r="A11" s="23" t="s">
        <v>6</v>
      </c>
      <c r="B11" s="23" t="s">
        <v>7</v>
      </c>
      <c r="C11" s="23" t="s">
        <v>8</v>
      </c>
      <c r="D11" s="24" t="s">
        <v>9</v>
      </c>
      <c r="E11" s="23" t="s">
        <v>10</v>
      </c>
      <c r="F11" s="25" t="s">
        <v>11</v>
      </c>
      <c r="G11" s="26" t="s">
        <v>12</v>
      </c>
      <c r="H11" s="26" t="s">
        <v>13</v>
      </c>
    </row>
    <row r="12" spans="1:8" s="27" customFormat="1" ht="15">
      <c r="A12" s="23">
        <v>1</v>
      </c>
      <c r="B12" s="23"/>
      <c r="C12" s="28" t="s">
        <v>14</v>
      </c>
      <c r="D12" s="28"/>
      <c r="E12" s="28"/>
      <c r="F12" s="28"/>
      <c r="G12" s="28"/>
      <c r="H12" s="28"/>
    </row>
    <row r="13" spans="1:8" s="20" customFormat="1" ht="15">
      <c r="A13" s="29" t="s">
        <v>15</v>
      </c>
      <c r="B13" s="29">
        <v>98459</v>
      </c>
      <c r="C13" s="30" t="s">
        <v>16</v>
      </c>
      <c r="D13" s="31">
        <f>15*3.5</f>
        <v>52.5</v>
      </c>
      <c r="E13" s="29" t="s">
        <v>17</v>
      </c>
      <c r="F13" s="32">
        <v>93.97</v>
      </c>
      <c r="G13" s="33">
        <f>F13*1.2771</f>
        <v>120.009087</v>
      </c>
      <c r="H13" s="33">
        <f>D13*G13</f>
        <v>6300.4770675</v>
      </c>
    </row>
    <row r="14" spans="1:8" s="27" customFormat="1" ht="15">
      <c r="A14" s="7" t="s">
        <v>18</v>
      </c>
      <c r="B14" s="7"/>
      <c r="C14" s="7"/>
      <c r="D14" s="7"/>
      <c r="E14" s="7"/>
      <c r="F14" s="7"/>
      <c r="G14" s="7"/>
      <c r="H14" s="35">
        <f>SUM(H13:H13)</f>
        <v>6300.4770675</v>
      </c>
    </row>
    <row r="15" spans="1:8" s="27" customFormat="1" ht="15">
      <c r="A15" s="23">
        <v>2</v>
      </c>
      <c r="B15" s="23"/>
      <c r="C15" s="28" t="s">
        <v>19</v>
      </c>
      <c r="D15" s="28"/>
      <c r="E15" s="28"/>
      <c r="F15" s="28"/>
      <c r="G15" s="28"/>
      <c r="H15" s="28"/>
    </row>
    <row r="16" spans="1:8" s="20" customFormat="1" ht="37.5">
      <c r="A16" s="29" t="s">
        <v>20</v>
      </c>
      <c r="B16" s="29">
        <v>97624</v>
      </c>
      <c r="C16" s="36" t="s">
        <v>21</v>
      </c>
      <c r="D16" s="31">
        <f>(0.8*2.1+0.98*3.5+1.18*3.5+1.27*3.5+0.8*1+0.8*2.1+0.8*2.1+0.8*2.1+0.8*1+0.8*2.1+1.5*2.1)*0.2+(6.5+12.2+6.5)*1.2*0.2</f>
        <v>11.079</v>
      </c>
      <c r="E16" s="29" t="s">
        <v>22</v>
      </c>
      <c r="F16" s="32">
        <v>91.98</v>
      </c>
      <c r="G16" s="33">
        <f aca="true" t="shared" si="0" ref="G16:G28">F16*1.2771</f>
        <v>117.467658</v>
      </c>
      <c r="H16" s="33">
        <f aca="true" t="shared" si="1" ref="H16:H28">D16*G16</f>
        <v>1301.424182982</v>
      </c>
    </row>
    <row r="17" spans="1:8" s="20" customFormat="1" ht="37.5">
      <c r="A17" s="29" t="s">
        <v>23</v>
      </c>
      <c r="B17" s="29" t="s">
        <v>24</v>
      </c>
      <c r="C17" s="36" t="s">
        <v>25</v>
      </c>
      <c r="D17" s="31">
        <f>2.94+2.65</f>
        <v>5.59</v>
      </c>
      <c r="E17" s="29" t="s">
        <v>17</v>
      </c>
      <c r="F17" s="32">
        <v>11.22</v>
      </c>
      <c r="G17" s="33">
        <f t="shared" si="0"/>
        <v>14.329062</v>
      </c>
      <c r="H17" s="33">
        <f t="shared" si="1"/>
        <v>80.09945658</v>
      </c>
    </row>
    <row r="18" spans="1:8" s="20" customFormat="1" ht="37.5">
      <c r="A18" s="29" t="s">
        <v>26</v>
      </c>
      <c r="B18" s="29" t="s">
        <v>27</v>
      </c>
      <c r="C18" s="36" t="s">
        <v>28</v>
      </c>
      <c r="D18" s="31">
        <f>(1.5+2.5+2+1.3+6)*3.5</f>
        <v>46.550000000000004</v>
      </c>
      <c r="E18" s="29" t="s">
        <v>17</v>
      </c>
      <c r="F18" s="32">
        <v>2.39</v>
      </c>
      <c r="G18" s="33">
        <f t="shared" si="0"/>
        <v>3.052269</v>
      </c>
      <c r="H18" s="33">
        <f t="shared" si="1"/>
        <v>142.08312195000002</v>
      </c>
    </row>
    <row r="19" spans="1:8" s="20" customFormat="1" ht="37.5">
      <c r="A19" s="29" t="s">
        <v>29</v>
      </c>
      <c r="B19" s="29" t="s">
        <v>30</v>
      </c>
      <c r="C19" s="36" t="s">
        <v>31</v>
      </c>
      <c r="D19" s="31">
        <v>82</v>
      </c>
      <c r="E19" s="29" t="s">
        <v>17</v>
      </c>
      <c r="F19" s="32">
        <v>2.92</v>
      </c>
      <c r="G19" s="33">
        <f t="shared" si="0"/>
        <v>3.7291319999999994</v>
      </c>
      <c r="H19" s="33">
        <f t="shared" si="1"/>
        <v>305.788824</v>
      </c>
    </row>
    <row r="20" spans="1:8" s="20" customFormat="1" ht="37.5">
      <c r="A20" s="29" t="s">
        <v>32</v>
      </c>
      <c r="B20" s="29" t="s">
        <v>33</v>
      </c>
      <c r="C20" s="36" t="s">
        <v>34</v>
      </c>
      <c r="D20" s="31">
        <v>82</v>
      </c>
      <c r="E20" s="29" t="s">
        <v>17</v>
      </c>
      <c r="F20" s="32">
        <v>6.3</v>
      </c>
      <c r="G20" s="33">
        <f t="shared" si="0"/>
        <v>8.045729999999999</v>
      </c>
      <c r="H20" s="33">
        <f t="shared" si="1"/>
        <v>659.7498599999999</v>
      </c>
    </row>
    <row r="21" spans="1:8" s="20" customFormat="1" ht="15">
      <c r="A21" s="29" t="s">
        <v>35</v>
      </c>
      <c r="B21" s="29">
        <v>97644</v>
      </c>
      <c r="C21" s="36" t="s">
        <v>36</v>
      </c>
      <c r="D21" s="31">
        <f>9*0.8*2.1</f>
        <v>15.120000000000001</v>
      </c>
      <c r="E21" s="29" t="s">
        <v>17</v>
      </c>
      <c r="F21" s="32">
        <v>7.85</v>
      </c>
      <c r="G21" s="33">
        <f t="shared" si="0"/>
        <v>10.025234999999999</v>
      </c>
      <c r="H21" s="33">
        <f t="shared" si="1"/>
        <v>151.5815532</v>
      </c>
    </row>
    <row r="22" spans="1:8" s="20" customFormat="1" ht="37.5">
      <c r="A22" s="29" t="s">
        <v>37</v>
      </c>
      <c r="B22" s="29">
        <v>97660</v>
      </c>
      <c r="C22" s="36" t="s">
        <v>38</v>
      </c>
      <c r="D22" s="31">
        <v>100</v>
      </c>
      <c r="E22" s="29" t="s">
        <v>39</v>
      </c>
      <c r="F22" s="32">
        <v>0.57</v>
      </c>
      <c r="G22" s="33">
        <f t="shared" si="0"/>
        <v>0.7279469999999999</v>
      </c>
      <c r="H22" s="33">
        <f t="shared" si="1"/>
        <v>72.79469999999999</v>
      </c>
    </row>
    <row r="23" spans="1:8" s="20" customFormat="1" ht="15">
      <c r="A23" s="29" t="s">
        <v>40</v>
      </c>
      <c r="B23" s="29">
        <v>97661</v>
      </c>
      <c r="C23" s="36" t="s">
        <v>41</v>
      </c>
      <c r="D23" s="31">
        <v>550</v>
      </c>
      <c r="E23" s="29" t="s">
        <v>42</v>
      </c>
      <c r="F23" s="32">
        <v>0.57</v>
      </c>
      <c r="G23" s="33">
        <f t="shared" si="0"/>
        <v>0.7279469999999999</v>
      </c>
      <c r="H23" s="33">
        <f t="shared" si="1"/>
        <v>400.37084999999996</v>
      </c>
    </row>
    <row r="24" spans="1:8" s="20" customFormat="1" ht="37.5">
      <c r="A24" s="29" t="s">
        <v>43</v>
      </c>
      <c r="B24" s="29">
        <v>97662</v>
      </c>
      <c r="C24" s="36" t="s">
        <v>44</v>
      </c>
      <c r="D24" s="31">
        <v>50</v>
      </c>
      <c r="E24" s="29" t="s">
        <v>42</v>
      </c>
      <c r="F24" s="32">
        <v>0.41</v>
      </c>
      <c r="G24" s="33">
        <f t="shared" si="0"/>
        <v>0.5236109999999999</v>
      </c>
      <c r="H24" s="33">
        <f t="shared" si="1"/>
        <v>26.180549999999997</v>
      </c>
    </row>
    <row r="25" spans="1:8" s="20" customFormat="1" ht="15">
      <c r="A25" s="29" t="s">
        <v>45</v>
      </c>
      <c r="B25" s="29">
        <v>97663</v>
      </c>
      <c r="C25" s="36" t="s">
        <v>46</v>
      </c>
      <c r="D25" s="31">
        <v>8</v>
      </c>
      <c r="E25" s="29" t="s">
        <v>39</v>
      </c>
      <c r="F25" s="32">
        <v>10.41</v>
      </c>
      <c r="G25" s="33">
        <f t="shared" si="0"/>
        <v>13.294611</v>
      </c>
      <c r="H25" s="33">
        <f t="shared" si="1"/>
        <v>106.356888</v>
      </c>
    </row>
    <row r="26" spans="1:8" s="20" customFormat="1" ht="15">
      <c r="A26" s="29" t="s">
        <v>47</v>
      </c>
      <c r="B26" s="29" t="s">
        <v>48</v>
      </c>
      <c r="C26" s="36" t="s">
        <v>49</v>
      </c>
      <c r="D26" s="31">
        <v>20</v>
      </c>
      <c r="E26" s="29" t="s">
        <v>17</v>
      </c>
      <c r="F26" s="32">
        <v>4.24</v>
      </c>
      <c r="G26" s="33">
        <f t="shared" si="0"/>
        <v>5.414904</v>
      </c>
      <c r="H26" s="33">
        <f t="shared" si="1"/>
        <v>108.29808</v>
      </c>
    </row>
    <row r="27" spans="1:8" s="20" customFormat="1" ht="37.5">
      <c r="A27" s="29" t="s">
        <v>50</v>
      </c>
      <c r="B27" s="29">
        <v>100198</v>
      </c>
      <c r="C27" s="36" t="s">
        <v>51</v>
      </c>
      <c r="D27" s="31">
        <f>(D16+D17*0.1+D25*0.1)*1500*0.2</f>
        <v>3731.4</v>
      </c>
      <c r="E27" s="29" t="s">
        <v>52</v>
      </c>
      <c r="F27" s="32">
        <v>0.24</v>
      </c>
      <c r="G27" s="33">
        <f t="shared" si="0"/>
        <v>0.30650399999999994</v>
      </c>
      <c r="H27" s="33">
        <f t="shared" si="1"/>
        <v>1143.6890256</v>
      </c>
    </row>
    <row r="28" spans="1:8" s="20" customFormat="1" ht="15">
      <c r="A28" s="29" t="s">
        <v>53</v>
      </c>
      <c r="B28" s="29" t="s">
        <v>54</v>
      </c>
      <c r="C28" s="36" t="s">
        <v>55</v>
      </c>
      <c r="D28" s="31">
        <f>(D16+D17*0.1+D25*0.1)</f>
        <v>12.438</v>
      </c>
      <c r="E28" s="29" t="s">
        <v>22</v>
      </c>
      <c r="F28" s="32">
        <f>250/5</f>
        <v>50</v>
      </c>
      <c r="G28" s="33">
        <f t="shared" si="0"/>
        <v>63.855</v>
      </c>
      <c r="H28" s="33">
        <f t="shared" si="1"/>
        <v>794.22849</v>
      </c>
    </row>
    <row r="29" spans="1:8" s="27" customFormat="1" ht="15">
      <c r="A29" s="7" t="s">
        <v>18</v>
      </c>
      <c r="B29" s="7"/>
      <c r="C29" s="7"/>
      <c r="D29" s="7"/>
      <c r="E29" s="7"/>
      <c r="F29" s="7"/>
      <c r="G29" s="7"/>
      <c r="H29" s="35">
        <f>SUM(H16:H28)</f>
        <v>5292.6455823119995</v>
      </c>
    </row>
    <row r="30" spans="1:8" s="38" customFormat="1" ht="15">
      <c r="A30" s="37">
        <v>3</v>
      </c>
      <c r="B30" s="37"/>
      <c r="C30" s="28" t="s">
        <v>56</v>
      </c>
      <c r="D30" s="28"/>
      <c r="E30" s="28"/>
      <c r="F30" s="28"/>
      <c r="G30" s="28"/>
      <c r="H30" s="28"/>
    </row>
    <row r="31" spans="1:8" s="41" customFormat="1" ht="37.5">
      <c r="A31" s="29" t="s">
        <v>57</v>
      </c>
      <c r="B31" s="29" t="s">
        <v>58</v>
      </c>
      <c r="C31" s="36" t="s">
        <v>59</v>
      </c>
      <c r="D31" s="39">
        <f>(12*0.2*0.2*3.5+4*6.6*0.2*0.4+2*12*0.2*0.4+82*0.1)*1.1</f>
        <v>15.303200000000004</v>
      </c>
      <c r="E31" s="40" t="s">
        <v>22</v>
      </c>
      <c r="F31" s="32">
        <v>3292.06</v>
      </c>
      <c r="G31" s="33">
        <f>F31*1.2771</f>
        <v>4204.289825999999</v>
      </c>
      <c r="H31" s="33">
        <f>D31*G31</f>
        <v>64339.0880652432</v>
      </c>
    </row>
    <row r="32" spans="1:9" s="20" customFormat="1" ht="15">
      <c r="A32" s="29" t="s">
        <v>60</v>
      </c>
      <c r="B32" s="29">
        <v>43082</v>
      </c>
      <c r="C32" s="36" t="s">
        <v>61</v>
      </c>
      <c r="D32" s="39">
        <f>3.4*24</f>
        <v>81.6</v>
      </c>
      <c r="E32" s="40" t="s">
        <v>62</v>
      </c>
      <c r="F32" s="32">
        <v>15.83</v>
      </c>
      <c r="G32" s="33">
        <f>F32*1.2771</f>
        <v>20.216493</v>
      </c>
      <c r="H32" s="33">
        <f>D32*G32</f>
        <v>1649.6658287999999</v>
      </c>
      <c r="I32" s="20" t="s">
        <v>63</v>
      </c>
    </row>
    <row r="33" spans="1:8" s="27" customFormat="1" ht="15">
      <c r="A33" s="7" t="s">
        <v>18</v>
      </c>
      <c r="B33" s="7"/>
      <c r="C33" s="7"/>
      <c r="D33" s="7"/>
      <c r="E33" s="7"/>
      <c r="F33" s="7"/>
      <c r="G33" s="7"/>
      <c r="H33" s="35">
        <f>SUM(H31:H32)</f>
        <v>65988.7538940432</v>
      </c>
    </row>
    <row r="34" spans="1:8" s="38" customFormat="1" ht="15">
      <c r="A34" s="37">
        <v>3</v>
      </c>
      <c r="B34" s="37"/>
      <c r="C34" s="28" t="s">
        <v>64</v>
      </c>
      <c r="D34" s="28"/>
      <c r="E34" s="28"/>
      <c r="F34" s="28"/>
      <c r="G34" s="28"/>
      <c r="H34" s="28"/>
    </row>
    <row r="35" spans="1:8" s="41" customFormat="1" ht="37.5">
      <c r="A35" s="29" t="s">
        <v>57</v>
      </c>
      <c r="B35" s="29" t="s">
        <v>65</v>
      </c>
      <c r="C35" s="36" t="s">
        <v>66</v>
      </c>
      <c r="D35" s="39">
        <f>(3.25+2.15+2.22+3.16+4.55+1.58+1.95+7.2+4.55+1.68+1.68+2.16+1.4+1.05+2.36+1.5+3.37+3.12+6.36+2.05+2.7+2.7+2.7+2.8+5.6+1.72+3+2.1+2.2)*3.5</f>
        <v>290.00999999999993</v>
      </c>
      <c r="E35" s="40" t="s">
        <v>17</v>
      </c>
      <c r="F35" s="32">
        <v>143.92</v>
      </c>
      <c r="G35" s="33">
        <f>F35*1.2771</f>
        <v>183.80023199999997</v>
      </c>
      <c r="H35" s="33">
        <f>D35*G35</f>
        <v>53303.905282319975</v>
      </c>
    </row>
    <row r="36" spans="1:8" s="41" customFormat="1" ht="15">
      <c r="A36" s="29" t="s">
        <v>67</v>
      </c>
      <c r="B36" s="42">
        <v>93183</v>
      </c>
      <c r="C36" s="43" t="s">
        <v>68</v>
      </c>
      <c r="D36" s="44">
        <f>8*1.4+11*1.1</f>
        <v>23.3</v>
      </c>
      <c r="E36" s="45" t="s">
        <v>42</v>
      </c>
      <c r="F36" s="46">
        <v>47.84</v>
      </c>
      <c r="G36" s="33">
        <f>F36*1.2771</f>
        <v>61.096464</v>
      </c>
      <c r="H36" s="33">
        <f>D36*G36</f>
        <v>1423.5476112</v>
      </c>
    </row>
    <row r="37" spans="1:8" s="41" customFormat="1" ht="37.5">
      <c r="A37" s="42" t="s">
        <v>69</v>
      </c>
      <c r="B37" s="42" t="s">
        <v>70</v>
      </c>
      <c r="C37" s="43" t="s">
        <v>71</v>
      </c>
      <c r="D37" s="44">
        <f>0.5*2.1</f>
        <v>1.05</v>
      </c>
      <c r="E37" s="45" t="s">
        <v>17</v>
      </c>
      <c r="F37" s="46">
        <v>76.83</v>
      </c>
      <c r="G37" s="33">
        <f>F37*1.2771</f>
        <v>98.119593</v>
      </c>
      <c r="H37" s="33">
        <f>D37*G37</f>
        <v>103.02557265</v>
      </c>
    </row>
    <row r="38" spans="1:8" s="41" customFormat="1" ht="37.5">
      <c r="A38" s="42" t="s">
        <v>72</v>
      </c>
      <c r="B38" s="42" t="s">
        <v>73</v>
      </c>
      <c r="C38" s="43" t="s">
        <v>74</v>
      </c>
      <c r="D38" s="44">
        <f>(6.4+12)*3.5</f>
        <v>64.39999999999999</v>
      </c>
      <c r="E38" s="45" t="s">
        <v>17</v>
      </c>
      <c r="F38" s="46">
        <v>89.11</v>
      </c>
      <c r="G38" s="33">
        <f>F38*1.2771</f>
        <v>113.802381</v>
      </c>
      <c r="H38" s="33">
        <f>D38*G38</f>
        <v>7328.873336399999</v>
      </c>
    </row>
    <row r="39" spans="1:8" s="27" customFormat="1" ht="15">
      <c r="A39" s="7" t="s">
        <v>18</v>
      </c>
      <c r="B39" s="7"/>
      <c r="C39" s="7"/>
      <c r="D39" s="7"/>
      <c r="E39" s="7"/>
      <c r="F39" s="7"/>
      <c r="G39" s="7"/>
      <c r="H39" s="35">
        <f>SUM(H35:H38)</f>
        <v>62159.35180256998</v>
      </c>
    </row>
    <row r="40" spans="1:8" s="27" customFormat="1" ht="15">
      <c r="A40" s="29">
        <v>4</v>
      </c>
      <c r="B40" s="23"/>
      <c r="C40" s="28" t="s">
        <v>75</v>
      </c>
      <c r="D40" s="28"/>
      <c r="E40" s="28"/>
      <c r="F40" s="28"/>
      <c r="G40" s="28"/>
      <c r="H40" s="28"/>
    </row>
    <row r="41" spans="1:8" s="41" customFormat="1" ht="37.5">
      <c r="A41" s="29" t="s">
        <v>76</v>
      </c>
      <c r="B41" s="29" t="s">
        <v>77</v>
      </c>
      <c r="C41" s="30" t="s">
        <v>78</v>
      </c>
      <c r="D41" s="31">
        <f>2.95+1.6</f>
        <v>4.550000000000001</v>
      </c>
      <c r="E41" s="29" t="s">
        <v>17</v>
      </c>
      <c r="F41" s="32">
        <v>90.67</v>
      </c>
      <c r="G41" s="33">
        <f>F41*1.2771</f>
        <v>115.79465699999999</v>
      </c>
      <c r="H41" s="33">
        <f>D41*G41</f>
        <v>526.86568935</v>
      </c>
    </row>
    <row r="42" spans="1:8" s="41" customFormat="1" ht="15">
      <c r="A42" s="29" t="s">
        <v>79</v>
      </c>
      <c r="B42" s="29">
        <v>96114</v>
      </c>
      <c r="C42" s="30" t="s">
        <v>80</v>
      </c>
      <c r="D42" s="31">
        <f>216.77+D26</f>
        <v>236.77</v>
      </c>
      <c r="E42" s="29" t="s">
        <v>17</v>
      </c>
      <c r="F42" s="32">
        <v>89.32</v>
      </c>
      <c r="G42" s="33">
        <f>F42*1.2771</f>
        <v>114.07057199999998</v>
      </c>
      <c r="H42" s="33">
        <f>D42*G42</f>
        <v>27008.489332439996</v>
      </c>
    </row>
    <row r="43" spans="1:8" s="27" customFormat="1" ht="15">
      <c r="A43" s="7" t="s">
        <v>18</v>
      </c>
      <c r="B43" s="7"/>
      <c r="C43" s="7"/>
      <c r="D43" s="7"/>
      <c r="E43" s="7"/>
      <c r="F43" s="7"/>
      <c r="G43" s="7"/>
      <c r="H43" s="35">
        <f>SUM(H41:H42)</f>
        <v>27535.355021789997</v>
      </c>
    </row>
    <row r="44" spans="1:8" s="27" customFormat="1" ht="15">
      <c r="A44" s="23">
        <v>5</v>
      </c>
      <c r="B44" s="23"/>
      <c r="C44" s="28" t="s">
        <v>81</v>
      </c>
      <c r="D44" s="28"/>
      <c r="E44" s="28"/>
      <c r="F44" s="28"/>
      <c r="G44" s="28"/>
      <c r="H44" s="28"/>
    </row>
    <row r="45" spans="1:8" s="41" customFormat="1" ht="37.5">
      <c r="A45" s="42" t="s">
        <v>82</v>
      </c>
      <c r="B45" s="42">
        <v>98680</v>
      </c>
      <c r="C45" s="43" t="s">
        <v>83</v>
      </c>
      <c r="D45" s="47">
        <f>D41+D42</f>
        <v>241.32000000000002</v>
      </c>
      <c r="E45" s="42" t="s">
        <v>17</v>
      </c>
      <c r="F45" s="46">
        <v>41.54</v>
      </c>
      <c r="G45" s="33">
        <f>F45*1.2771</f>
        <v>53.05073399999999</v>
      </c>
      <c r="H45" s="33">
        <f>D45*G45</f>
        <v>12802.203128879999</v>
      </c>
    </row>
    <row r="46" spans="1:8" s="41" customFormat="1" ht="37.5">
      <c r="A46" s="42" t="s">
        <v>84</v>
      </c>
      <c r="B46" s="42" t="s">
        <v>85</v>
      </c>
      <c r="C46" s="43" t="s">
        <v>86</v>
      </c>
      <c r="D46" s="47">
        <f>D45*1.1-D47</f>
        <v>199.84200000000004</v>
      </c>
      <c r="E46" s="42" t="s">
        <v>17</v>
      </c>
      <c r="F46" s="46">
        <v>158.65</v>
      </c>
      <c r="G46" s="33">
        <f>F46*1.2771</f>
        <v>202.61191499999998</v>
      </c>
      <c r="H46" s="33">
        <f>D46*G46</f>
        <v>40490.37031743</v>
      </c>
    </row>
    <row r="47" spans="1:9" s="41" customFormat="1" ht="37.5">
      <c r="A47" s="42" t="s">
        <v>87</v>
      </c>
      <c r="B47" s="42" t="s">
        <v>88</v>
      </c>
      <c r="C47" s="43" t="s">
        <v>89</v>
      </c>
      <c r="D47" s="47">
        <f>2.95+1.6+1.56+1.09+2.79+3.12+3.89+6.98+2.14+10.79+12.76+15.94</f>
        <v>65.61</v>
      </c>
      <c r="E47" s="42" t="s">
        <v>17</v>
      </c>
      <c r="F47" s="46">
        <v>130.07</v>
      </c>
      <c r="G47" s="33">
        <f>F47*1.2771</f>
        <v>166.112397</v>
      </c>
      <c r="H47" s="33">
        <f>D47*G47</f>
        <v>10898.63436717</v>
      </c>
      <c r="I47" s="41" t="s">
        <v>90</v>
      </c>
    </row>
    <row r="48" spans="1:8" s="41" customFormat="1" ht="15">
      <c r="A48" s="42" t="s">
        <v>91</v>
      </c>
      <c r="B48" s="42" t="s">
        <v>92</v>
      </c>
      <c r="C48" s="43" t="s">
        <v>93</v>
      </c>
      <c r="D48" s="47">
        <f>15.34+16.27+5.15+16.47+8.1+4.25+7.6+8.2+5.9+11.76-15*0.8</f>
        <v>87.04</v>
      </c>
      <c r="E48" s="42" t="s">
        <v>42</v>
      </c>
      <c r="F48" s="46">
        <v>40.41</v>
      </c>
      <c r="G48" s="33">
        <f>F48*1.2771</f>
        <v>51.60761099999999</v>
      </c>
      <c r="H48" s="33">
        <f>D48*G48</f>
        <v>4491.92646144</v>
      </c>
    </row>
    <row r="49" spans="1:8" s="41" customFormat="1" ht="37.5">
      <c r="A49" s="42" t="s">
        <v>94</v>
      </c>
      <c r="B49" s="42" t="s">
        <v>95</v>
      </c>
      <c r="C49" s="43" t="s">
        <v>96</v>
      </c>
      <c r="D49" s="47">
        <v>82</v>
      </c>
      <c r="E49" s="42" t="s">
        <v>17</v>
      </c>
      <c r="F49" s="46">
        <v>43.45</v>
      </c>
      <c r="G49" s="33">
        <f>F49*1.2771</f>
        <v>55.489995</v>
      </c>
      <c r="H49" s="33">
        <f>D49*G49</f>
        <v>4550.17959</v>
      </c>
    </row>
    <row r="50" spans="1:8" s="27" customFormat="1" ht="15">
      <c r="A50" s="7" t="s">
        <v>18</v>
      </c>
      <c r="B50" s="7"/>
      <c r="C50" s="7"/>
      <c r="D50" s="7"/>
      <c r="E50" s="7"/>
      <c r="F50" s="7"/>
      <c r="G50" s="7"/>
      <c r="H50" s="35">
        <f>SUM(H45:H49)</f>
        <v>73233.31386492</v>
      </c>
    </row>
    <row r="51" spans="1:8" s="20" customFormat="1" ht="15">
      <c r="A51" s="29">
        <v>6</v>
      </c>
      <c r="B51" s="29"/>
      <c r="C51" s="28" t="s">
        <v>97</v>
      </c>
      <c r="D51" s="28"/>
      <c r="E51" s="28"/>
      <c r="F51" s="28"/>
      <c r="G51" s="28"/>
      <c r="H51" s="28"/>
    </row>
    <row r="52" spans="1:8" s="41" customFormat="1" ht="37.5">
      <c r="A52" s="29" t="s">
        <v>98</v>
      </c>
      <c r="B52" s="29" t="s">
        <v>99</v>
      </c>
      <c r="C52" s="36" t="s">
        <v>100</v>
      </c>
      <c r="D52" s="39">
        <f>1.55+1.9+1.6+1</f>
        <v>6.050000000000001</v>
      </c>
      <c r="E52" s="29" t="s">
        <v>42</v>
      </c>
      <c r="F52" s="32">
        <v>68.47</v>
      </c>
      <c r="G52" s="33">
        <f aca="true" t="shared" si="2" ref="G52:G58">F52*1.2771</f>
        <v>87.44303699999999</v>
      </c>
      <c r="H52" s="33">
        <f aca="true" t="shared" si="3" ref="H52:H58">D52*G52</f>
        <v>529.03037385</v>
      </c>
    </row>
    <row r="53" spans="1:8" s="41" customFormat="1" ht="37.5">
      <c r="A53" s="29" t="s">
        <v>101</v>
      </c>
      <c r="B53" s="29">
        <v>98546</v>
      </c>
      <c r="C53" s="36" t="s">
        <v>102</v>
      </c>
      <c r="D53" s="39">
        <f>(2.95+1.55)*1.1</f>
        <v>4.95</v>
      </c>
      <c r="E53" s="29" t="s">
        <v>17</v>
      </c>
      <c r="F53" s="32">
        <v>93.14</v>
      </c>
      <c r="G53" s="33">
        <f t="shared" si="2"/>
        <v>118.94909399999999</v>
      </c>
      <c r="H53" s="33">
        <f t="shared" si="3"/>
        <v>588.7980153</v>
      </c>
    </row>
    <row r="54" spans="1:8" s="41" customFormat="1" ht="37.5">
      <c r="A54" s="29" t="s">
        <v>103</v>
      </c>
      <c r="B54" s="29">
        <v>98565</v>
      </c>
      <c r="C54" s="36" t="s">
        <v>104</v>
      </c>
      <c r="D54" s="39">
        <f>D53</f>
        <v>4.95</v>
      </c>
      <c r="E54" s="29" t="s">
        <v>17</v>
      </c>
      <c r="F54" s="32">
        <v>45.06</v>
      </c>
      <c r="G54" s="33">
        <f t="shared" si="2"/>
        <v>57.546126</v>
      </c>
      <c r="H54" s="33">
        <f t="shared" si="3"/>
        <v>284.85332370000003</v>
      </c>
    </row>
    <row r="55" spans="1:8" s="41" customFormat="1" ht="37.5">
      <c r="A55" s="29" t="s">
        <v>105</v>
      </c>
      <c r="B55" s="29">
        <v>98555</v>
      </c>
      <c r="C55" s="36" t="s">
        <v>106</v>
      </c>
      <c r="D55" s="39">
        <f>(1.55+1.9+1.6+1)*2.5+4.75+1.5+1.65</f>
        <v>23.025</v>
      </c>
      <c r="E55" s="29" t="s">
        <v>17</v>
      </c>
      <c r="F55" s="32">
        <v>23.71</v>
      </c>
      <c r="G55" s="33">
        <f t="shared" si="2"/>
        <v>30.280040999999997</v>
      </c>
      <c r="H55" s="33">
        <f t="shared" si="3"/>
        <v>697.1979440249999</v>
      </c>
    </row>
    <row r="56" spans="1:9" s="41" customFormat="1" ht="37.5">
      <c r="A56" s="29" t="s">
        <v>107</v>
      </c>
      <c r="B56" s="29" t="s">
        <v>108</v>
      </c>
      <c r="C56" s="36" t="s">
        <v>109</v>
      </c>
      <c r="D56" s="39">
        <f>82*1.1</f>
        <v>90.2</v>
      </c>
      <c r="E56" s="29" t="s">
        <v>17</v>
      </c>
      <c r="F56" s="32">
        <v>180.66</v>
      </c>
      <c r="G56" s="33">
        <f t="shared" si="2"/>
        <v>230.72088599999998</v>
      </c>
      <c r="H56" s="33">
        <f t="shared" si="3"/>
        <v>20811.0239172</v>
      </c>
      <c r="I56" s="41" t="s">
        <v>110</v>
      </c>
    </row>
    <row r="57" spans="1:9" s="41" customFormat="1" ht="15">
      <c r="A57" s="29" t="s">
        <v>111</v>
      </c>
      <c r="B57" s="29" t="s">
        <v>112</v>
      </c>
      <c r="C57" s="36" t="s">
        <v>113</v>
      </c>
      <c r="D57" s="39">
        <v>82</v>
      </c>
      <c r="E57" s="29" t="s">
        <v>17</v>
      </c>
      <c r="F57" s="32">
        <v>45.98</v>
      </c>
      <c r="G57" s="33">
        <f t="shared" si="2"/>
        <v>58.72105799999999</v>
      </c>
      <c r="H57" s="33">
        <f t="shared" si="3"/>
        <v>4815.126756</v>
      </c>
      <c r="I57" s="41" t="s">
        <v>110</v>
      </c>
    </row>
    <row r="58" spans="1:9" s="41" customFormat="1" ht="15">
      <c r="A58" s="29" t="s">
        <v>114</v>
      </c>
      <c r="B58" s="29">
        <v>1114</v>
      </c>
      <c r="C58" s="36" t="s">
        <v>115</v>
      </c>
      <c r="D58" s="39">
        <f>(6.5+12.2)*2</f>
        <v>37.4</v>
      </c>
      <c r="E58" s="29" t="s">
        <v>42</v>
      </c>
      <c r="F58" s="32">
        <v>42.48</v>
      </c>
      <c r="G58" s="33">
        <f t="shared" si="2"/>
        <v>54.25120799999999</v>
      </c>
      <c r="H58" s="33">
        <f t="shared" si="3"/>
        <v>2028.9951791999995</v>
      </c>
      <c r="I58" s="41" t="s">
        <v>110</v>
      </c>
    </row>
    <row r="59" spans="1:8" s="27" customFormat="1" ht="15">
      <c r="A59" s="7" t="s">
        <v>18</v>
      </c>
      <c r="B59" s="7"/>
      <c r="C59" s="7"/>
      <c r="D59" s="7"/>
      <c r="E59" s="7"/>
      <c r="F59" s="7"/>
      <c r="G59" s="7"/>
      <c r="H59" s="35">
        <f>SUM(H52:H58)</f>
        <v>29755.025509275</v>
      </c>
    </row>
    <row r="60" spans="1:8" s="38" customFormat="1" ht="15">
      <c r="A60" s="23">
        <v>7</v>
      </c>
      <c r="B60" s="37"/>
      <c r="C60" s="48" t="s">
        <v>116</v>
      </c>
      <c r="D60" s="48"/>
      <c r="E60" s="48"/>
      <c r="F60" s="48"/>
      <c r="G60" s="48"/>
      <c r="H60" s="48"/>
    </row>
    <row r="61" spans="1:8" s="20" customFormat="1" ht="37.5">
      <c r="A61" s="42" t="s">
        <v>117</v>
      </c>
      <c r="B61" s="42" t="s">
        <v>118</v>
      </c>
      <c r="C61" s="49" t="s">
        <v>119</v>
      </c>
      <c r="D61" s="47">
        <f>D37+D38*2</f>
        <v>129.85</v>
      </c>
      <c r="E61" s="42" t="s">
        <v>17</v>
      </c>
      <c r="F61" s="46">
        <v>6.46</v>
      </c>
      <c r="G61" s="33">
        <f>F61*1.2771</f>
        <v>8.250065999999999</v>
      </c>
      <c r="H61" s="33">
        <f>D61*G61</f>
        <v>1071.2710700999999</v>
      </c>
    </row>
    <row r="62" spans="1:8" s="20" customFormat="1" ht="56.25">
      <c r="A62" s="42" t="s">
        <v>120</v>
      </c>
      <c r="B62" s="42" t="s">
        <v>121</v>
      </c>
      <c r="C62" s="49" t="s">
        <v>122</v>
      </c>
      <c r="D62" s="47">
        <f>D61</f>
        <v>129.85</v>
      </c>
      <c r="E62" s="42" t="s">
        <v>17</v>
      </c>
      <c r="F62" s="46">
        <v>35.21</v>
      </c>
      <c r="G62" s="33">
        <f>F62*1.2771</f>
        <v>44.966691</v>
      </c>
      <c r="H62" s="33">
        <f>D62*G62</f>
        <v>5838.924826349999</v>
      </c>
    </row>
    <row r="63" spans="1:9" s="20" customFormat="1" ht="56.25">
      <c r="A63" s="42" t="s">
        <v>123</v>
      </c>
      <c r="B63" s="42">
        <v>87272</v>
      </c>
      <c r="C63" s="49" t="s">
        <v>124</v>
      </c>
      <c r="D63" s="47">
        <f>6.9*2.5+5.2*2.5+(4.7+3.5)*1.5+(1.2+1.5)*1.5+1.65*1.5+1.6*1.5-2*0.8*2.1</f>
        <v>48.114999999999995</v>
      </c>
      <c r="E63" s="42" t="s">
        <v>17</v>
      </c>
      <c r="F63" s="46">
        <v>67.9</v>
      </c>
      <c r="G63" s="33">
        <f>F63*1.2771</f>
        <v>86.71509</v>
      </c>
      <c r="H63" s="33">
        <f>D63*G63</f>
        <v>4172.29655535</v>
      </c>
      <c r="I63" s="20" t="s">
        <v>125</v>
      </c>
    </row>
    <row r="64" spans="1:8" s="27" customFormat="1" ht="15">
      <c r="A64" s="7" t="s">
        <v>18</v>
      </c>
      <c r="B64" s="7"/>
      <c r="C64" s="7"/>
      <c r="D64" s="7"/>
      <c r="E64" s="7"/>
      <c r="F64" s="7"/>
      <c r="G64" s="7"/>
      <c r="H64" s="35">
        <f>SUM(H61:H63)</f>
        <v>11082.492451799999</v>
      </c>
    </row>
    <row r="65" spans="1:8" s="38" customFormat="1" ht="15">
      <c r="A65" s="23">
        <v>8</v>
      </c>
      <c r="B65" s="37"/>
      <c r="C65" s="48" t="s">
        <v>126</v>
      </c>
      <c r="D65" s="48"/>
      <c r="E65" s="48"/>
      <c r="F65" s="48"/>
      <c r="G65" s="48"/>
      <c r="H65" s="48"/>
    </row>
    <row r="66" spans="1:9" s="41" customFormat="1" ht="56.25">
      <c r="A66" s="50" t="s">
        <v>127</v>
      </c>
      <c r="B66" s="42">
        <v>90791</v>
      </c>
      <c r="C66" s="43" t="s">
        <v>128</v>
      </c>
      <c r="D66" s="47">
        <v>17</v>
      </c>
      <c r="E66" s="42" t="s">
        <v>39</v>
      </c>
      <c r="F66" s="46">
        <v>1028.86</v>
      </c>
      <c r="G66" s="33">
        <f>F66*1.2771</f>
        <v>1313.9571059999998</v>
      </c>
      <c r="H66" s="33">
        <f>D66*G66</f>
        <v>22337.270802</v>
      </c>
      <c r="I66" s="41" t="s">
        <v>129</v>
      </c>
    </row>
    <row r="67" spans="1:8" s="41" customFormat="1" ht="56.25">
      <c r="A67" s="50" t="s">
        <v>130</v>
      </c>
      <c r="B67" s="42" t="s">
        <v>131</v>
      </c>
      <c r="C67" s="43" t="s">
        <v>132</v>
      </c>
      <c r="D67" s="47">
        <v>3</v>
      </c>
      <c r="E67" s="42" t="s">
        <v>39</v>
      </c>
      <c r="F67" s="46">
        <v>852.72</v>
      </c>
      <c r="G67" s="33">
        <f>F67*1.2771</f>
        <v>1089.008712</v>
      </c>
      <c r="H67" s="33">
        <f>D67*G67</f>
        <v>3267.0261360000004</v>
      </c>
    </row>
    <row r="68" spans="1:8" s="41" customFormat="1" ht="15">
      <c r="A68" s="50" t="s">
        <v>133</v>
      </c>
      <c r="B68" s="42" t="s">
        <v>134</v>
      </c>
      <c r="C68" s="43" t="s">
        <v>135</v>
      </c>
      <c r="D68" s="47">
        <v>1</v>
      </c>
      <c r="E68" s="42" t="s">
        <v>39</v>
      </c>
      <c r="F68" s="46">
        <v>2640.69</v>
      </c>
      <c r="G68" s="33">
        <f>F68*1.2771</f>
        <v>3372.425199</v>
      </c>
      <c r="H68" s="33">
        <f>D68*G68</f>
        <v>3372.425199</v>
      </c>
    </row>
    <row r="69" spans="1:8" s="41" customFormat="1" ht="15">
      <c r="A69" s="50" t="s">
        <v>136</v>
      </c>
      <c r="B69" s="42" t="s">
        <v>137</v>
      </c>
      <c r="C69" s="49" t="s">
        <v>138</v>
      </c>
      <c r="D69" s="47">
        <v>5</v>
      </c>
      <c r="E69" s="42" t="s">
        <v>39</v>
      </c>
      <c r="F69" s="46">
        <v>526.61</v>
      </c>
      <c r="G69" s="33">
        <f>F69*1.2771</f>
        <v>672.533631</v>
      </c>
      <c r="H69" s="33">
        <f>D69*G69</f>
        <v>3362.6681550000003</v>
      </c>
    </row>
    <row r="70" spans="1:8" s="27" customFormat="1" ht="15">
      <c r="A70" s="7" t="s">
        <v>18</v>
      </c>
      <c r="B70" s="7"/>
      <c r="C70" s="7"/>
      <c r="D70" s="7"/>
      <c r="E70" s="7"/>
      <c r="F70" s="7"/>
      <c r="G70" s="7"/>
      <c r="H70" s="35">
        <f>SUM(H66:H69)</f>
        <v>32339.390292</v>
      </c>
    </row>
    <row r="71" spans="1:8" s="38" customFormat="1" ht="15">
      <c r="A71" s="23">
        <v>9</v>
      </c>
      <c r="B71" s="37"/>
      <c r="C71" s="48" t="s">
        <v>139</v>
      </c>
      <c r="D71" s="48"/>
      <c r="E71" s="48"/>
      <c r="F71" s="48"/>
      <c r="G71" s="48"/>
      <c r="H71" s="48"/>
    </row>
    <row r="72" spans="1:8" s="38" customFormat="1" ht="15">
      <c r="A72" s="23"/>
      <c r="B72" s="37"/>
      <c r="C72" s="48" t="s">
        <v>140</v>
      </c>
      <c r="D72" s="48"/>
      <c r="E72" s="48"/>
      <c r="F72" s="48"/>
      <c r="G72" s="48"/>
      <c r="H72" s="48"/>
    </row>
    <row r="73" spans="1:8" s="27" customFormat="1" ht="56.25">
      <c r="A73" s="29" t="s">
        <v>141</v>
      </c>
      <c r="B73" s="29">
        <v>91792</v>
      </c>
      <c r="C73" s="36" t="s">
        <v>142</v>
      </c>
      <c r="D73" s="31">
        <v>40</v>
      </c>
      <c r="E73" s="29" t="s">
        <v>42</v>
      </c>
      <c r="F73" s="32">
        <v>57.91</v>
      </c>
      <c r="G73" s="33">
        <f>F73*1.2771</f>
        <v>73.95686099999999</v>
      </c>
      <c r="H73" s="33">
        <f>D73*G73</f>
        <v>2958.2744399999997</v>
      </c>
    </row>
    <row r="74" spans="1:8" s="27" customFormat="1" ht="56.25">
      <c r="A74" s="29" t="s">
        <v>143</v>
      </c>
      <c r="B74" s="29" t="s">
        <v>144</v>
      </c>
      <c r="C74" s="36" t="s">
        <v>145</v>
      </c>
      <c r="D74" s="31">
        <v>50</v>
      </c>
      <c r="E74" s="29" t="s">
        <v>42</v>
      </c>
      <c r="F74" s="32">
        <v>89.53</v>
      </c>
      <c r="G74" s="33">
        <f>F74*1.2771</f>
        <v>114.33876299999999</v>
      </c>
      <c r="H74" s="33">
        <f>D74*G74</f>
        <v>5716.938149999999</v>
      </c>
    </row>
    <row r="75" spans="1:8" s="27" customFormat="1" ht="56.25">
      <c r="A75" s="29" t="s">
        <v>146</v>
      </c>
      <c r="B75" s="29">
        <v>91794</v>
      </c>
      <c r="C75" s="36" t="s">
        <v>147</v>
      </c>
      <c r="D75" s="31">
        <v>35</v>
      </c>
      <c r="E75" s="29" t="s">
        <v>42</v>
      </c>
      <c r="F75" s="32">
        <v>46.21</v>
      </c>
      <c r="G75" s="33">
        <f>F75*1.2771</f>
        <v>59.014790999999995</v>
      </c>
      <c r="H75" s="33">
        <f>D75*G75</f>
        <v>2065.517685</v>
      </c>
    </row>
    <row r="76" spans="1:8" s="27" customFormat="1" ht="56.25">
      <c r="A76" s="29" t="s">
        <v>148</v>
      </c>
      <c r="B76" s="29">
        <v>91795</v>
      </c>
      <c r="C76" s="36" t="s">
        <v>149</v>
      </c>
      <c r="D76" s="31">
        <v>70</v>
      </c>
      <c r="E76" s="29" t="s">
        <v>42</v>
      </c>
      <c r="F76" s="32">
        <v>75.71</v>
      </c>
      <c r="G76" s="33">
        <f>F76*1.2771</f>
        <v>96.68924099999998</v>
      </c>
      <c r="H76" s="33">
        <f>D76*G76</f>
        <v>6768.246869999999</v>
      </c>
    </row>
    <row r="77" spans="1:8" s="27" customFormat="1" ht="37.5">
      <c r="A77" s="29" t="s">
        <v>150</v>
      </c>
      <c r="B77" s="29">
        <v>89708</v>
      </c>
      <c r="C77" s="36" t="s">
        <v>151</v>
      </c>
      <c r="D77" s="31">
        <v>16</v>
      </c>
      <c r="E77" s="29" t="s">
        <v>39</v>
      </c>
      <c r="F77" s="32">
        <v>104.15</v>
      </c>
      <c r="G77" s="33">
        <f>F77*1.2771</f>
        <v>133.009965</v>
      </c>
      <c r="H77" s="33">
        <f>D77*G77</f>
        <v>2128.15944</v>
      </c>
    </row>
    <row r="78" spans="1:8" s="20" customFormat="1" ht="15">
      <c r="A78" s="29"/>
      <c r="B78" s="29"/>
      <c r="C78" s="28" t="s">
        <v>152</v>
      </c>
      <c r="D78" s="28"/>
      <c r="E78" s="28"/>
      <c r="F78" s="28"/>
      <c r="G78" s="28"/>
      <c r="H78" s="28"/>
    </row>
    <row r="79" spans="1:8" s="20" customFormat="1" ht="37.5">
      <c r="A79" s="29" t="s">
        <v>153</v>
      </c>
      <c r="B79" s="29">
        <v>90443</v>
      </c>
      <c r="C79" s="36" t="s">
        <v>154</v>
      </c>
      <c r="D79" s="31">
        <v>100</v>
      </c>
      <c r="E79" s="29" t="s">
        <v>42</v>
      </c>
      <c r="F79" s="32">
        <v>11.4</v>
      </c>
      <c r="G79" s="33">
        <f>F79*1.2771</f>
        <v>14.55894</v>
      </c>
      <c r="H79" s="33">
        <f>D79*G79</f>
        <v>1455.894</v>
      </c>
    </row>
    <row r="80" spans="1:8" s="20" customFormat="1" ht="37.5">
      <c r="A80" s="29" t="s">
        <v>155</v>
      </c>
      <c r="B80" s="29">
        <v>90466</v>
      </c>
      <c r="C80" s="36" t="s">
        <v>156</v>
      </c>
      <c r="D80" s="31">
        <v>100</v>
      </c>
      <c r="E80" s="29" t="s">
        <v>42</v>
      </c>
      <c r="F80" s="32">
        <v>11.61</v>
      </c>
      <c r="G80" s="33">
        <f>F80*1.2771</f>
        <v>14.827130999999998</v>
      </c>
      <c r="H80" s="33">
        <f>D80*G80</f>
        <v>1482.7130999999997</v>
      </c>
    </row>
    <row r="81" spans="1:8" s="20" customFormat="1" ht="56.25">
      <c r="A81" s="29" t="s">
        <v>157</v>
      </c>
      <c r="B81" s="29" t="s">
        <v>158</v>
      </c>
      <c r="C81" s="36" t="s">
        <v>159</v>
      </c>
      <c r="D81" s="31">
        <v>100</v>
      </c>
      <c r="E81" s="29" t="s">
        <v>42</v>
      </c>
      <c r="F81" s="32">
        <v>44.17</v>
      </c>
      <c r="G81" s="33">
        <f>F81*1.2771</f>
        <v>56.409507</v>
      </c>
      <c r="H81" s="33">
        <f>D81*G81</f>
        <v>5640.950699999999</v>
      </c>
    </row>
    <row r="82" spans="1:8" s="41" customFormat="1" ht="15">
      <c r="A82" s="29"/>
      <c r="B82" s="42"/>
      <c r="C82" s="48" t="s">
        <v>160</v>
      </c>
      <c r="D82" s="48"/>
      <c r="E82" s="48"/>
      <c r="F82" s="48"/>
      <c r="G82" s="48"/>
      <c r="H82" s="48"/>
    </row>
    <row r="83" spans="1:8" s="41" customFormat="1" ht="37.5">
      <c r="A83" s="42" t="s">
        <v>161</v>
      </c>
      <c r="B83" s="45">
        <v>86888</v>
      </c>
      <c r="C83" s="43" t="s">
        <v>162</v>
      </c>
      <c r="D83" s="47">
        <v>3</v>
      </c>
      <c r="E83" s="42" t="s">
        <v>39</v>
      </c>
      <c r="F83" s="46">
        <v>434.13</v>
      </c>
      <c r="G83" s="33">
        <f aca="true" t="shared" si="4" ref="G83:G96">F83*1.2771</f>
        <v>554.427423</v>
      </c>
      <c r="H83" s="33">
        <f aca="true" t="shared" si="5" ref="H83:H96">D83*G83</f>
        <v>1663.2822689999998</v>
      </c>
    </row>
    <row r="84" spans="1:8" s="41" customFormat="1" ht="37.5">
      <c r="A84" s="42" t="s">
        <v>163</v>
      </c>
      <c r="B84" s="45">
        <v>86903</v>
      </c>
      <c r="C84" s="43" t="s">
        <v>164</v>
      </c>
      <c r="D84" s="47">
        <v>4</v>
      </c>
      <c r="E84" s="42" t="s">
        <v>39</v>
      </c>
      <c r="F84" s="46">
        <v>326.38</v>
      </c>
      <c r="G84" s="33">
        <f t="shared" si="4"/>
        <v>416.81989799999997</v>
      </c>
      <c r="H84" s="33">
        <f t="shared" si="5"/>
        <v>1667.2795919999999</v>
      </c>
    </row>
    <row r="85" spans="1:8" s="41" customFormat="1" ht="37.5">
      <c r="A85" s="42" t="s">
        <v>165</v>
      </c>
      <c r="B85" s="45">
        <v>86905</v>
      </c>
      <c r="C85" s="43" t="s">
        <v>166</v>
      </c>
      <c r="D85" s="47">
        <v>4</v>
      </c>
      <c r="E85" s="42" t="s">
        <v>39</v>
      </c>
      <c r="F85" s="46">
        <v>561.44</v>
      </c>
      <c r="G85" s="33">
        <f t="shared" si="4"/>
        <v>717.015024</v>
      </c>
      <c r="H85" s="33">
        <f t="shared" si="5"/>
        <v>2868.060096</v>
      </c>
    </row>
    <row r="86" spans="1:8" s="41" customFormat="1" ht="15">
      <c r="A86" s="42" t="s">
        <v>167</v>
      </c>
      <c r="B86" s="45">
        <v>86887</v>
      </c>
      <c r="C86" s="43" t="s">
        <v>168</v>
      </c>
      <c r="D86" s="47">
        <v>7</v>
      </c>
      <c r="E86" s="42" t="s">
        <v>39</v>
      </c>
      <c r="F86" s="46">
        <v>69.63</v>
      </c>
      <c r="G86" s="33">
        <f t="shared" si="4"/>
        <v>88.92447299999999</v>
      </c>
      <c r="H86" s="33">
        <f t="shared" si="5"/>
        <v>622.4713109999999</v>
      </c>
    </row>
    <row r="87" spans="1:8" s="41" customFormat="1" ht="15">
      <c r="A87" s="42" t="s">
        <v>169</v>
      </c>
      <c r="B87" s="45">
        <v>86883</v>
      </c>
      <c r="C87" s="43" t="s">
        <v>170</v>
      </c>
      <c r="D87" s="47">
        <v>12</v>
      </c>
      <c r="E87" s="42" t="s">
        <v>39</v>
      </c>
      <c r="F87" s="46">
        <v>14.19</v>
      </c>
      <c r="G87" s="33">
        <f t="shared" si="4"/>
        <v>18.122048999999997</v>
      </c>
      <c r="H87" s="33">
        <f t="shared" si="5"/>
        <v>217.46458799999996</v>
      </c>
    </row>
    <row r="88" spans="1:8" s="41" customFormat="1" ht="37.5">
      <c r="A88" s="42" t="s">
        <v>171</v>
      </c>
      <c r="B88" s="45">
        <v>86877</v>
      </c>
      <c r="C88" s="43" t="s">
        <v>172</v>
      </c>
      <c r="D88" s="47">
        <v>6</v>
      </c>
      <c r="E88" s="42" t="s">
        <v>39</v>
      </c>
      <c r="F88" s="46">
        <v>86.88</v>
      </c>
      <c r="G88" s="33">
        <f t="shared" si="4"/>
        <v>110.95444799999999</v>
      </c>
      <c r="H88" s="33">
        <f t="shared" si="5"/>
        <v>665.726688</v>
      </c>
    </row>
    <row r="89" spans="1:8" s="41" customFormat="1" ht="15">
      <c r="A89" s="42" t="s">
        <v>173</v>
      </c>
      <c r="B89" s="45">
        <v>100856</v>
      </c>
      <c r="C89" s="43" t="s">
        <v>174</v>
      </c>
      <c r="D89" s="47">
        <v>9</v>
      </c>
      <c r="E89" s="42" t="s">
        <v>39</v>
      </c>
      <c r="F89" s="46">
        <v>51.8</v>
      </c>
      <c r="G89" s="33">
        <f t="shared" si="4"/>
        <v>66.15378</v>
      </c>
      <c r="H89" s="33">
        <f t="shared" si="5"/>
        <v>595.38402</v>
      </c>
    </row>
    <row r="90" spans="1:8" s="41" customFormat="1" ht="37.5">
      <c r="A90" s="42" t="s">
        <v>175</v>
      </c>
      <c r="B90" s="45">
        <v>89349</v>
      </c>
      <c r="C90" s="43" t="s">
        <v>176</v>
      </c>
      <c r="D90" s="47">
        <v>2</v>
      </c>
      <c r="E90" s="42" t="s">
        <v>39</v>
      </c>
      <c r="F90" s="46">
        <v>30.61</v>
      </c>
      <c r="G90" s="33">
        <f t="shared" si="4"/>
        <v>39.092031</v>
      </c>
      <c r="H90" s="33">
        <f t="shared" si="5"/>
        <v>78.184062</v>
      </c>
    </row>
    <row r="91" spans="1:8" s="41" customFormat="1" ht="37.5">
      <c r="A91" s="42" t="s">
        <v>177</v>
      </c>
      <c r="B91" s="45">
        <v>89353</v>
      </c>
      <c r="C91" s="43" t="s">
        <v>178</v>
      </c>
      <c r="D91" s="47">
        <v>7</v>
      </c>
      <c r="E91" s="42" t="s">
        <v>39</v>
      </c>
      <c r="F91" s="46">
        <v>45.68</v>
      </c>
      <c r="G91" s="33">
        <f t="shared" si="4"/>
        <v>58.337928</v>
      </c>
      <c r="H91" s="33">
        <f t="shared" si="5"/>
        <v>408.365496</v>
      </c>
    </row>
    <row r="92" spans="1:8" s="41" customFormat="1" ht="37.5">
      <c r="A92" s="42" t="s">
        <v>179</v>
      </c>
      <c r="B92" s="45" t="s">
        <v>180</v>
      </c>
      <c r="C92" s="43" t="s">
        <v>181</v>
      </c>
      <c r="D92" s="47">
        <v>2</v>
      </c>
      <c r="E92" s="42" t="s">
        <v>39</v>
      </c>
      <c r="F92" s="46">
        <v>650.01</v>
      </c>
      <c r="G92" s="33">
        <f t="shared" si="4"/>
        <v>830.1277709999999</v>
      </c>
      <c r="H92" s="33">
        <f t="shared" si="5"/>
        <v>1660.2555419999999</v>
      </c>
    </row>
    <row r="93" spans="1:8" s="41" customFormat="1" ht="37.5">
      <c r="A93" s="42" t="s">
        <v>182</v>
      </c>
      <c r="B93" s="45" t="s">
        <v>183</v>
      </c>
      <c r="C93" s="43" t="s">
        <v>184</v>
      </c>
      <c r="D93" s="47">
        <v>10</v>
      </c>
      <c r="E93" s="42" t="s">
        <v>39</v>
      </c>
      <c r="F93" s="46">
        <v>179.76</v>
      </c>
      <c r="G93" s="33">
        <f t="shared" si="4"/>
        <v>229.57149599999997</v>
      </c>
      <c r="H93" s="33">
        <f t="shared" si="5"/>
        <v>2295.71496</v>
      </c>
    </row>
    <row r="94" spans="1:9" s="41" customFormat="1" ht="75">
      <c r="A94" s="42" t="s">
        <v>185</v>
      </c>
      <c r="B94" s="45" t="s">
        <v>54</v>
      </c>
      <c r="C94" s="43" t="s">
        <v>186</v>
      </c>
      <c r="D94" s="47">
        <v>2</v>
      </c>
      <c r="E94" s="42" t="s">
        <v>39</v>
      </c>
      <c r="F94" s="46">
        <v>3390</v>
      </c>
      <c r="G94" s="33">
        <f t="shared" si="4"/>
        <v>4329.369</v>
      </c>
      <c r="H94" s="33">
        <f t="shared" si="5"/>
        <v>8658.738</v>
      </c>
      <c r="I94" s="41" t="s">
        <v>187</v>
      </c>
    </row>
    <row r="95" spans="1:9" s="41" customFormat="1" ht="56.25">
      <c r="A95" s="42" t="s">
        <v>188</v>
      </c>
      <c r="B95" s="45" t="s">
        <v>54</v>
      </c>
      <c r="C95" s="43" t="s">
        <v>189</v>
      </c>
      <c r="D95" s="47">
        <v>1</v>
      </c>
      <c r="E95" s="42" t="s">
        <v>39</v>
      </c>
      <c r="F95" s="46">
        <v>4110</v>
      </c>
      <c r="G95" s="33">
        <f t="shared" si="4"/>
        <v>5248.880999999999</v>
      </c>
      <c r="H95" s="33">
        <f t="shared" si="5"/>
        <v>5248.880999999999</v>
      </c>
      <c r="I95" s="41" t="s">
        <v>190</v>
      </c>
    </row>
    <row r="96" spans="1:9" s="41" customFormat="1" ht="15">
      <c r="A96" s="42" t="s">
        <v>191</v>
      </c>
      <c r="B96" s="45" t="s">
        <v>192</v>
      </c>
      <c r="C96" s="43" t="s">
        <v>193</v>
      </c>
      <c r="D96" s="47">
        <f>2.9+3.55+1.3</f>
        <v>7.749999999999999</v>
      </c>
      <c r="E96" s="42" t="s">
        <v>42</v>
      </c>
      <c r="F96" s="46">
        <v>1255.45</v>
      </c>
      <c r="G96" s="33">
        <f t="shared" si="4"/>
        <v>1603.3351949999999</v>
      </c>
      <c r="H96" s="33">
        <f t="shared" si="5"/>
        <v>12425.847761249997</v>
      </c>
      <c r="I96" s="41" t="s">
        <v>194</v>
      </c>
    </row>
    <row r="97" spans="1:8" s="27" customFormat="1" ht="15">
      <c r="A97" s="34"/>
      <c r="B97" s="34"/>
      <c r="C97" s="34" t="s">
        <v>18</v>
      </c>
      <c r="D97" s="51"/>
      <c r="E97" s="34"/>
      <c r="F97" s="52"/>
      <c r="G97" s="35"/>
      <c r="H97" s="35">
        <f>SUM(H73:H96)</f>
        <v>67292.34977024999</v>
      </c>
    </row>
    <row r="98" spans="1:8" s="38" customFormat="1" ht="15">
      <c r="A98" s="23">
        <v>10</v>
      </c>
      <c r="B98" s="23"/>
      <c r="C98" s="28" t="s">
        <v>195</v>
      </c>
      <c r="D98" s="28"/>
      <c r="E98" s="28"/>
      <c r="F98" s="28"/>
      <c r="G98" s="28"/>
      <c r="H98" s="28"/>
    </row>
    <row r="99" spans="1:8" s="20" customFormat="1" ht="37.5">
      <c r="A99" s="29" t="s">
        <v>196</v>
      </c>
      <c r="B99" s="40">
        <v>101882</v>
      </c>
      <c r="C99" s="36" t="s">
        <v>197</v>
      </c>
      <c r="D99" s="53">
        <v>1</v>
      </c>
      <c r="E99" s="21" t="s">
        <v>39</v>
      </c>
      <c r="F99" s="32">
        <v>1618.6</v>
      </c>
      <c r="G99" s="33">
        <f aca="true" t="shared" si="6" ref="G99:G130">F99*1.2771</f>
        <v>2067.11406</v>
      </c>
      <c r="H99" s="33">
        <f aca="true" t="shared" si="7" ref="H99:H130">D99*G99</f>
        <v>2067.11406</v>
      </c>
    </row>
    <row r="100" spans="1:8" s="20" customFormat="1" ht="37.5">
      <c r="A100" s="29" t="s">
        <v>198</v>
      </c>
      <c r="B100" s="40" t="s">
        <v>199</v>
      </c>
      <c r="C100" s="36" t="s">
        <v>200</v>
      </c>
      <c r="D100" s="53">
        <v>1</v>
      </c>
      <c r="E100" s="21" t="s">
        <v>39</v>
      </c>
      <c r="F100" s="32">
        <v>1831.24</v>
      </c>
      <c r="G100" s="33">
        <f t="shared" si="6"/>
        <v>2338.6766039999998</v>
      </c>
      <c r="H100" s="33">
        <f t="shared" si="7"/>
        <v>2338.6766039999998</v>
      </c>
    </row>
    <row r="101" spans="1:8" s="20" customFormat="1" ht="37.5">
      <c r="A101" s="29" t="s">
        <v>201</v>
      </c>
      <c r="B101" s="42">
        <v>101883</v>
      </c>
      <c r="C101" s="43" t="s">
        <v>202</v>
      </c>
      <c r="D101" s="53">
        <v>1</v>
      </c>
      <c r="E101" s="21" t="s">
        <v>39</v>
      </c>
      <c r="F101" s="46">
        <v>651.8</v>
      </c>
      <c r="G101" s="33">
        <f t="shared" si="6"/>
        <v>832.4137799999999</v>
      </c>
      <c r="H101" s="33">
        <f t="shared" si="7"/>
        <v>832.4137799999999</v>
      </c>
    </row>
    <row r="102" spans="1:8" s="20" customFormat="1" ht="15">
      <c r="A102" s="29" t="s">
        <v>203</v>
      </c>
      <c r="B102" s="42">
        <v>92865</v>
      </c>
      <c r="C102" s="43" t="s">
        <v>204</v>
      </c>
      <c r="D102" s="53">
        <v>48</v>
      </c>
      <c r="E102" s="21" t="s">
        <v>39</v>
      </c>
      <c r="F102" s="46">
        <v>10.37</v>
      </c>
      <c r="G102" s="33">
        <f t="shared" si="6"/>
        <v>13.243526999999998</v>
      </c>
      <c r="H102" s="33">
        <f t="shared" si="7"/>
        <v>635.6892959999999</v>
      </c>
    </row>
    <row r="103" spans="1:8" s="20" customFormat="1" ht="37.5">
      <c r="A103" s="29" t="s">
        <v>205</v>
      </c>
      <c r="B103" s="42">
        <v>91939</v>
      </c>
      <c r="C103" s="43" t="s">
        <v>206</v>
      </c>
      <c r="D103" s="53">
        <v>14</v>
      </c>
      <c r="E103" s="21" t="s">
        <v>39</v>
      </c>
      <c r="F103" s="46">
        <v>26.1</v>
      </c>
      <c r="G103" s="33">
        <f t="shared" si="6"/>
        <v>33.33231</v>
      </c>
      <c r="H103" s="33">
        <f t="shared" si="7"/>
        <v>466.65234</v>
      </c>
    </row>
    <row r="104" spans="1:8" s="20" customFormat="1" ht="37.5">
      <c r="A104" s="29" t="s">
        <v>207</v>
      </c>
      <c r="B104" s="42">
        <v>91940</v>
      </c>
      <c r="C104" s="43" t="s">
        <v>208</v>
      </c>
      <c r="D104" s="53">
        <v>75</v>
      </c>
      <c r="E104" s="21" t="s">
        <v>39</v>
      </c>
      <c r="F104" s="46">
        <v>14.23</v>
      </c>
      <c r="G104" s="33">
        <f t="shared" si="6"/>
        <v>18.173133</v>
      </c>
      <c r="H104" s="33">
        <f t="shared" si="7"/>
        <v>1362.984975</v>
      </c>
    </row>
    <row r="105" spans="1:8" s="20" customFormat="1" ht="37.5">
      <c r="A105" s="29" t="s">
        <v>209</v>
      </c>
      <c r="B105" s="42">
        <v>91941</v>
      </c>
      <c r="C105" s="43" t="s">
        <v>210</v>
      </c>
      <c r="D105" s="53">
        <v>36</v>
      </c>
      <c r="E105" s="21" t="s">
        <v>39</v>
      </c>
      <c r="F105" s="46">
        <v>9.78</v>
      </c>
      <c r="G105" s="33">
        <f t="shared" si="6"/>
        <v>12.490037999999998</v>
      </c>
      <c r="H105" s="33">
        <f t="shared" si="7"/>
        <v>449.64136799999994</v>
      </c>
    </row>
    <row r="106" spans="1:8" s="20" customFormat="1" ht="37.5">
      <c r="A106" s="29" t="s">
        <v>211</v>
      </c>
      <c r="B106" s="42">
        <v>95795</v>
      </c>
      <c r="C106" s="43" t="s">
        <v>212</v>
      </c>
      <c r="D106" s="53">
        <v>1</v>
      </c>
      <c r="E106" s="21" t="s">
        <v>39</v>
      </c>
      <c r="F106" s="46">
        <v>32.59</v>
      </c>
      <c r="G106" s="33">
        <f t="shared" si="6"/>
        <v>41.620689</v>
      </c>
      <c r="H106" s="33">
        <f t="shared" si="7"/>
        <v>41.620689</v>
      </c>
    </row>
    <row r="107" spans="1:8" s="20" customFormat="1" ht="37.5">
      <c r="A107" s="29" t="s">
        <v>213</v>
      </c>
      <c r="B107" s="42">
        <v>95796</v>
      </c>
      <c r="C107" s="43" t="s">
        <v>214</v>
      </c>
      <c r="D107" s="53">
        <v>2</v>
      </c>
      <c r="E107" s="21" t="s">
        <v>39</v>
      </c>
      <c r="F107" s="46">
        <v>41.8</v>
      </c>
      <c r="G107" s="33">
        <f t="shared" si="6"/>
        <v>53.38277999999999</v>
      </c>
      <c r="H107" s="33">
        <f t="shared" si="7"/>
        <v>106.76555999999998</v>
      </c>
    </row>
    <row r="108" spans="1:8" s="20" customFormat="1" ht="37.5">
      <c r="A108" s="29" t="s">
        <v>215</v>
      </c>
      <c r="B108" s="42">
        <v>95787</v>
      </c>
      <c r="C108" s="43" t="s">
        <v>216</v>
      </c>
      <c r="D108" s="53">
        <v>2</v>
      </c>
      <c r="E108" s="21" t="s">
        <v>39</v>
      </c>
      <c r="F108" s="46">
        <v>28.27</v>
      </c>
      <c r="G108" s="33">
        <f t="shared" si="6"/>
        <v>36.103617</v>
      </c>
      <c r="H108" s="33">
        <f t="shared" si="7"/>
        <v>72.207234</v>
      </c>
    </row>
    <row r="109" spans="1:8" s="20" customFormat="1" ht="37.5">
      <c r="A109" s="29" t="s">
        <v>217</v>
      </c>
      <c r="B109" s="45" t="s">
        <v>218</v>
      </c>
      <c r="C109" s="43" t="s">
        <v>219</v>
      </c>
      <c r="D109" s="53">
        <v>4</v>
      </c>
      <c r="E109" s="21" t="s">
        <v>39</v>
      </c>
      <c r="F109" s="46">
        <v>238.55</v>
      </c>
      <c r="G109" s="33">
        <f t="shared" si="6"/>
        <v>304.652205</v>
      </c>
      <c r="H109" s="33">
        <f t="shared" si="7"/>
        <v>1218.60882</v>
      </c>
    </row>
    <row r="110" spans="1:8" s="20" customFormat="1" ht="37.5">
      <c r="A110" s="29" t="s">
        <v>220</v>
      </c>
      <c r="B110" s="42" t="s">
        <v>221</v>
      </c>
      <c r="C110" s="43" t="s">
        <v>222</v>
      </c>
      <c r="D110" s="53">
        <v>52</v>
      </c>
      <c r="E110" s="21" t="s">
        <v>42</v>
      </c>
      <c r="F110" s="46">
        <v>95.06</v>
      </c>
      <c r="G110" s="33">
        <f t="shared" si="6"/>
        <v>121.40112599999999</v>
      </c>
      <c r="H110" s="33">
        <f t="shared" si="7"/>
        <v>6312.858552</v>
      </c>
    </row>
    <row r="111" spans="1:8" s="20" customFormat="1" ht="37.5">
      <c r="A111" s="29" t="s">
        <v>223</v>
      </c>
      <c r="B111" s="42" t="s">
        <v>224</v>
      </c>
      <c r="C111" s="43" t="s">
        <v>225</v>
      </c>
      <c r="D111" s="53">
        <v>39</v>
      </c>
      <c r="E111" s="21" t="s">
        <v>42</v>
      </c>
      <c r="F111" s="46">
        <v>123.59</v>
      </c>
      <c r="G111" s="33">
        <f t="shared" si="6"/>
        <v>157.83678899999998</v>
      </c>
      <c r="H111" s="33">
        <f t="shared" si="7"/>
        <v>6155.634770999999</v>
      </c>
    </row>
    <row r="112" spans="1:8" s="20" customFormat="1" ht="37.5">
      <c r="A112" s="29" t="s">
        <v>226</v>
      </c>
      <c r="B112" s="42" t="s">
        <v>227</v>
      </c>
      <c r="C112" s="43" t="s">
        <v>228</v>
      </c>
      <c r="D112" s="53">
        <v>18</v>
      </c>
      <c r="E112" s="21" t="s">
        <v>42</v>
      </c>
      <c r="F112" s="46">
        <v>83.92</v>
      </c>
      <c r="G112" s="33">
        <f t="shared" si="6"/>
        <v>107.17423199999999</v>
      </c>
      <c r="H112" s="33">
        <f t="shared" si="7"/>
        <v>1929.1361759999998</v>
      </c>
    </row>
    <row r="113" spans="1:8" s="20" customFormat="1" ht="15">
      <c r="A113" s="29" t="s">
        <v>229</v>
      </c>
      <c r="B113" s="40" t="s">
        <v>230</v>
      </c>
      <c r="C113" s="36" t="s">
        <v>231</v>
      </c>
      <c r="D113" s="53">
        <v>16</v>
      </c>
      <c r="E113" s="21" t="s">
        <v>39</v>
      </c>
      <c r="F113" s="46">
        <v>14.35</v>
      </c>
      <c r="G113" s="33">
        <f t="shared" si="6"/>
        <v>18.326385</v>
      </c>
      <c r="H113" s="33">
        <f t="shared" si="7"/>
        <v>293.22216</v>
      </c>
    </row>
    <row r="114" spans="1:8" s="20" customFormat="1" ht="15">
      <c r="A114" s="29" t="s">
        <v>232</v>
      </c>
      <c r="B114" s="40" t="s">
        <v>233</v>
      </c>
      <c r="C114" s="36" t="s">
        <v>234</v>
      </c>
      <c r="D114" s="53">
        <v>39</v>
      </c>
      <c r="E114" s="21" t="s">
        <v>39</v>
      </c>
      <c r="F114" s="46">
        <v>14.35</v>
      </c>
      <c r="G114" s="33">
        <f t="shared" si="6"/>
        <v>18.326385</v>
      </c>
      <c r="H114" s="33">
        <f t="shared" si="7"/>
        <v>714.7290149999999</v>
      </c>
    </row>
    <row r="115" spans="1:8" s="20" customFormat="1" ht="37.5">
      <c r="A115" s="29" t="s">
        <v>235</v>
      </c>
      <c r="B115" s="42" t="s">
        <v>236</v>
      </c>
      <c r="C115" s="43" t="s">
        <v>237</v>
      </c>
      <c r="D115" s="53">
        <v>2</v>
      </c>
      <c r="E115" s="21" t="s">
        <v>39</v>
      </c>
      <c r="F115" s="46">
        <v>108.65</v>
      </c>
      <c r="G115" s="33">
        <f t="shared" si="6"/>
        <v>138.756915</v>
      </c>
      <c r="H115" s="33">
        <f t="shared" si="7"/>
        <v>277.51383</v>
      </c>
    </row>
    <row r="116" spans="1:8" s="20" customFormat="1" ht="37.5">
      <c r="A116" s="29" t="s">
        <v>238</v>
      </c>
      <c r="B116" s="42" t="s">
        <v>239</v>
      </c>
      <c r="C116" s="43" t="s">
        <v>240</v>
      </c>
      <c r="D116" s="53">
        <v>2</v>
      </c>
      <c r="E116" s="21" t="s">
        <v>39</v>
      </c>
      <c r="F116" s="46">
        <v>88.65</v>
      </c>
      <c r="G116" s="33">
        <f t="shared" si="6"/>
        <v>113.214915</v>
      </c>
      <c r="H116" s="33">
        <f t="shared" si="7"/>
        <v>226.42983</v>
      </c>
    </row>
    <row r="117" spans="1:8" s="20" customFormat="1" ht="37.5">
      <c r="A117" s="29" t="s">
        <v>241</v>
      </c>
      <c r="B117" s="42" t="s">
        <v>242</v>
      </c>
      <c r="C117" s="43" t="s">
        <v>243</v>
      </c>
      <c r="D117" s="53">
        <v>6</v>
      </c>
      <c r="E117" s="21" t="s">
        <v>39</v>
      </c>
      <c r="F117" s="46">
        <v>110.47</v>
      </c>
      <c r="G117" s="33">
        <f t="shared" si="6"/>
        <v>141.081237</v>
      </c>
      <c r="H117" s="33">
        <f t="shared" si="7"/>
        <v>846.4874219999999</v>
      </c>
    </row>
    <row r="118" spans="1:8" s="20" customFormat="1" ht="37.5">
      <c r="A118" s="29" t="s">
        <v>244</v>
      </c>
      <c r="B118" s="42" t="s">
        <v>245</v>
      </c>
      <c r="C118" s="43" t="s">
        <v>246</v>
      </c>
      <c r="D118" s="53">
        <v>2</v>
      </c>
      <c r="E118" s="21" t="s">
        <v>39</v>
      </c>
      <c r="F118" s="46">
        <v>96.74</v>
      </c>
      <c r="G118" s="33">
        <f t="shared" si="6"/>
        <v>123.54665399999999</v>
      </c>
      <c r="H118" s="33">
        <f t="shared" si="7"/>
        <v>247.09330799999998</v>
      </c>
    </row>
    <row r="119" spans="1:8" s="20" customFormat="1" ht="37.5">
      <c r="A119" s="29" t="s">
        <v>247</v>
      </c>
      <c r="B119" s="42" t="s">
        <v>248</v>
      </c>
      <c r="C119" s="43" t="s">
        <v>249</v>
      </c>
      <c r="D119" s="53">
        <v>4</v>
      </c>
      <c r="E119" s="21" t="s">
        <v>39</v>
      </c>
      <c r="F119" s="46">
        <v>106.82</v>
      </c>
      <c r="G119" s="33">
        <f t="shared" si="6"/>
        <v>136.41982199999998</v>
      </c>
      <c r="H119" s="33">
        <f t="shared" si="7"/>
        <v>545.6792879999999</v>
      </c>
    </row>
    <row r="120" spans="1:8" s="20" customFormat="1" ht="37.5">
      <c r="A120" s="29" t="s">
        <v>250</v>
      </c>
      <c r="B120" s="42" t="s">
        <v>251</v>
      </c>
      <c r="C120" s="43" t="s">
        <v>252</v>
      </c>
      <c r="D120" s="53">
        <v>2</v>
      </c>
      <c r="E120" s="21" t="s">
        <v>39</v>
      </c>
      <c r="F120" s="46">
        <v>132.81</v>
      </c>
      <c r="G120" s="33">
        <f t="shared" si="6"/>
        <v>169.611651</v>
      </c>
      <c r="H120" s="33">
        <f t="shared" si="7"/>
        <v>339.223302</v>
      </c>
    </row>
    <row r="121" spans="1:8" s="20" customFormat="1" ht="37.5">
      <c r="A121" s="29" t="s">
        <v>253</v>
      </c>
      <c r="B121" s="42" t="s">
        <v>254</v>
      </c>
      <c r="C121" s="43" t="s">
        <v>255</v>
      </c>
      <c r="D121" s="53">
        <v>3</v>
      </c>
      <c r="E121" s="21" t="s">
        <v>39</v>
      </c>
      <c r="F121" s="46">
        <v>87.65</v>
      </c>
      <c r="G121" s="33">
        <f t="shared" si="6"/>
        <v>111.937815</v>
      </c>
      <c r="H121" s="33">
        <f t="shared" si="7"/>
        <v>335.813445</v>
      </c>
    </row>
    <row r="122" spans="1:8" s="20" customFormat="1" ht="37.5">
      <c r="A122" s="29" t="s">
        <v>256</v>
      </c>
      <c r="B122" s="42" t="s">
        <v>257</v>
      </c>
      <c r="C122" s="43" t="s">
        <v>258</v>
      </c>
      <c r="D122" s="53">
        <v>1</v>
      </c>
      <c r="E122" s="21" t="s">
        <v>39</v>
      </c>
      <c r="F122" s="46">
        <v>81.65</v>
      </c>
      <c r="G122" s="33">
        <f t="shared" si="6"/>
        <v>104.275215</v>
      </c>
      <c r="H122" s="33">
        <f t="shared" si="7"/>
        <v>104.275215</v>
      </c>
    </row>
    <row r="123" spans="1:8" s="20" customFormat="1" ht="37.5">
      <c r="A123" s="29" t="s">
        <v>259</v>
      </c>
      <c r="B123" s="42">
        <v>91871</v>
      </c>
      <c r="C123" s="43" t="s">
        <v>260</v>
      </c>
      <c r="D123" s="53">
        <v>210</v>
      </c>
      <c r="E123" s="21" t="s">
        <v>42</v>
      </c>
      <c r="F123" s="46">
        <v>12.64</v>
      </c>
      <c r="G123" s="33">
        <f t="shared" si="6"/>
        <v>16.142544</v>
      </c>
      <c r="H123" s="33">
        <f t="shared" si="7"/>
        <v>3389.93424</v>
      </c>
    </row>
    <row r="124" spans="1:8" s="20" customFormat="1" ht="37.5">
      <c r="A124" s="29" t="s">
        <v>261</v>
      </c>
      <c r="B124" s="42">
        <v>91872</v>
      </c>
      <c r="C124" s="43" t="s">
        <v>262</v>
      </c>
      <c r="D124" s="53">
        <v>25</v>
      </c>
      <c r="E124" s="21" t="s">
        <v>42</v>
      </c>
      <c r="F124" s="46">
        <v>16.64</v>
      </c>
      <c r="G124" s="33">
        <f t="shared" si="6"/>
        <v>21.250944</v>
      </c>
      <c r="H124" s="33">
        <f t="shared" si="7"/>
        <v>531.2736</v>
      </c>
    </row>
    <row r="125" spans="1:8" s="20" customFormat="1" ht="37.5">
      <c r="A125" s="29" t="s">
        <v>263</v>
      </c>
      <c r="B125" s="42">
        <v>91863</v>
      </c>
      <c r="C125" s="43" t="s">
        <v>264</v>
      </c>
      <c r="D125" s="53">
        <v>150</v>
      </c>
      <c r="E125" s="21" t="s">
        <v>42</v>
      </c>
      <c r="F125" s="46">
        <v>11.68</v>
      </c>
      <c r="G125" s="33">
        <f t="shared" si="6"/>
        <v>14.916527999999998</v>
      </c>
      <c r="H125" s="33">
        <f t="shared" si="7"/>
        <v>2237.4791999999998</v>
      </c>
    </row>
    <row r="126" spans="1:8" s="20" customFormat="1" ht="37.5">
      <c r="A126" s="29" t="s">
        <v>265</v>
      </c>
      <c r="B126" s="42">
        <v>91864</v>
      </c>
      <c r="C126" s="43" t="s">
        <v>266</v>
      </c>
      <c r="D126" s="53">
        <v>40</v>
      </c>
      <c r="E126" s="21" t="s">
        <v>42</v>
      </c>
      <c r="F126" s="46">
        <v>15.68</v>
      </c>
      <c r="G126" s="33">
        <f t="shared" si="6"/>
        <v>20.024928</v>
      </c>
      <c r="H126" s="33">
        <f t="shared" si="7"/>
        <v>800.99712</v>
      </c>
    </row>
    <row r="127" spans="1:8" s="20" customFormat="1" ht="37.5">
      <c r="A127" s="29" t="s">
        <v>267</v>
      </c>
      <c r="B127" s="42">
        <v>91875</v>
      </c>
      <c r="C127" s="43" t="s">
        <v>268</v>
      </c>
      <c r="D127" s="53">
        <v>227</v>
      </c>
      <c r="E127" s="21" t="s">
        <v>39</v>
      </c>
      <c r="F127" s="46">
        <v>6.14</v>
      </c>
      <c r="G127" s="33">
        <f t="shared" si="6"/>
        <v>7.841393999999999</v>
      </c>
      <c r="H127" s="33">
        <f t="shared" si="7"/>
        <v>1779.996438</v>
      </c>
    </row>
    <row r="128" spans="1:8" s="20" customFormat="1" ht="37.5">
      <c r="A128" s="29" t="s">
        <v>269</v>
      </c>
      <c r="B128" s="42">
        <v>91876</v>
      </c>
      <c r="C128" s="43" t="s">
        <v>270</v>
      </c>
      <c r="D128" s="53">
        <v>29</v>
      </c>
      <c r="E128" s="21" t="s">
        <v>39</v>
      </c>
      <c r="F128" s="46">
        <v>8.11</v>
      </c>
      <c r="G128" s="33">
        <f t="shared" si="6"/>
        <v>10.357280999999999</v>
      </c>
      <c r="H128" s="33">
        <f t="shared" si="7"/>
        <v>300.36114899999995</v>
      </c>
    </row>
    <row r="129" spans="1:8" s="20" customFormat="1" ht="37.5">
      <c r="A129" s="29" t="s">
        <v>271</v>
      </c>
      <c r="B129" s="42">
        <v>91890</v>
      </c>
      <c r="C129" s="43" t="s">
        <v>272</v>
      </c>
      <c r="D129" s="53">
        <v>86</v>
      </c>
      <c r="E129" s="21" t="s">
        <v>39</v>
      </c>
      <c r="F129" s="46">
        <v>10.37</v>
      </c>
      <c r="G129" s="33">
        <f t="shared" si="6"/>
        <v>13.243526999999998</v>
      </c>
      <c r="H129" s="33">
        <f t="shared" si="7"/>
        <v>1138.9433219999999</v>
      </c>
    </row>
    <row r="130" spans="1:8" s="20" customFormat="1" ht="37.5">
      <c r="A130" s="29" t="s">
        <v>273</v>
      </c>
      <c r="B130" s="42">
        <v>91893</v>
      </c>
      <c r="C130" s="43" t="s">
        <v>274</v>
      </c>
      <c r="D130" s="53">
        <v>11</v>
      </c>
      <c r="E130" s="21" t="s">
        <v>39</v>
      </c>
      <c r="F130" s="46">
        <v>14.27</v>
      </c>
      <c r="G130" s="33">
        <f t="shared" si="6"/>
        <v>18.224217</v>
      </c>
      <c r="H130" s="33">
        <f t="shared" si="7"/>
        <v>200.466387</v>
      </c>
    </row>
    <row r="131" spans="1:8" s="20" customFormat="1" ht="37.5">
      <c r="A131" s="29" t="s">
        <v>275</v>
      </c>
      <c r="B131" s="42">
        <v>97670</v>
      </c>
      <c r="C131" s="43" t="s">
        <v>276</v>
      </c>
      <c r="D131" s="53">
        <v>15</v>
      </c>
      <c r="E131" s="21" t="s">
        <v>42</v>
      </c>
      <c r="F131" s="46">
        <v>32.66</v>
      </c>
      <c r="G131" s="33">
        <f aca="true" t="shared" si="8" ref="G131:G162">F131*1.2771</f>
        <v>41.71008599999999</v>
      </c>
      <c r="H131" s="33">
        <f aca="true" t="shared" si="9" ref="H131:H162">D131*G131</f>
        <v>625.6512899999998</v>
      </c>
    </row>
    <row r="132" spans="1:8" s="20" customFormat="1" ht="15">
      <c r="A132" s="29" t="s">
        <v>277</v>
      </c>
      <c r="B132" s="42">
        <v>93012</v>
      </c>
      <c r="C132" s="43" t="s">
        <v>278</v>
      </c>
      <c r="D132" s="53">
        <v>25</v>
      </c>
      <c r="E132" s="21" t="s">
        <v>39</v>
      </c>
      <c r="F132" s="46">
        <v>70.37</v>
      </c>
      <c r="G132" s="33">
        <f t="shared" si="8"/>
        <v>89.869527</v>
      </c>
      <c r="H132" s="33">
        <f t="shared" si="9"/>
        <v>2246.738175</v>
      </c>
    </row>
    <row r="133" spans="1:8" s="20" customFormat="1" ht="37.5">
      <c r="A133" s="29" t="s">
        <v>279</v>
      </c>
      <c r="B133" s="42">
        <v>93026</v>
      </c>
      <c r="C133" s="43" t="s">
        <v>280</v>
      </c>
      <c r="D133" s="53">
        <v>4</v>
      </c>
      <c r="E133" s="21" t="s">
        <v>39</v>
      </c>
      <c r="F133" s="46">
        <v>86.65</v>
      </c>
      <c r="G133" s="33">
        <f t="shared" si="8"/>
        <v>110.660715</v>
      </c>
      <c r="H133" s="33">
        <f t="shared" si="9"/>
        <v>442.64286</v>
      </c>
    </row>
    <row r="134" spans="1:8" s="20" customFormat="1" ht="15">
      <c r="A134" s="29" t="s">
        <v>281</v>
      </c>
      <c r="B134" s="42">
        <v>93017</v>
      </c>
      <c r="C134" s="43" t="s">
        <v>282</v>
      </c>
      <c r="D134" s="53">
        <v>14</v>
      </c>
      <c r="E134" s="21" t="s">
        <v>39</v>
      </c>
      <c r="F134" s="46">
        <v>51.98</v>
      </c>
      <c r="G134" s="33">
        <f t="shared" si="8"/>
        <v>66.383658</v>
      </c>
      <c r="H134" s="33">
        <f t="shared" si="9"/>
        <v>929.371212</v>
      </c>
    </row>
    <row r="135" spans="1:8" s="20" customFormat="1" ht="37.5">
      <c r="A135" s="29" t="s">
        <v>283</v>
      </c>
      <c r="B135" s="42">
        <v>97639</v>
      </c>
      <c r="C135" s="43" t="s">
        <v>284</v>
      </c>
      <c r="D135" s="53">
        <v>2.1</v>
      </c>
      <c r="E135" s="21" t="s">
        <v>17</v>
      </c>
      <c r="F135" s="46">
        <v>17</v>
      </c>
      <c r="G135" s="33">
        <f t="shared" si="8"/>
        <v>21.7107</v>
      </c>
      <c r="H135" s="33">
        <f t="shared" si="9"/>
        <v>45.59247</v>
      </c>
    </row>
    <row r="136" spans="1:8" s="20" customFormat="1" ht="15">
      <c r="A136" s="29" t="s">
        <v>285</v>
      </c>
      <c r="B136" s="42">
        <v>93358</v>
      </c>
      <c r="C136" s="43" t="s">
        <v>286</v>
      </c>
      <c r="D136" s="53">
        <v>0.7</v>
      </c>
      <c r="E136" s="21" t="s">
        <v>22</v>
      </c>
      <c r="F136" s="46">
        <v>74.53</v>
      </c>
      <c r="G136" s="33">
        <f t="shared" si="8"/>
        <v>95.18226299999999</v>
      </c>
      <c r="H136" s="33">
        <f t="shared" si="9"/>
        <v>66.62758409999999</v>
      </c>
    </row>
    <row r="137" spans="1:8" s="20" customFormat="1" ht="37.5">
      <c r="A137" s="29" t="s">
        <v>287</v>
      </c>
      <c r="B137" s="42">
        <v>94990</v>
      </c>
      <c r="C137" s="43" t="s">
        <v>288</v>
      </c>
      <c r="D137" s="53">
        <v>0.7</v>
      </c>
      <c r="E137" s="21" t="s">
        <v>22</v>
      </c>
      <c r="F137" s="46">
        <v>688.77</v>
      </c>
      <c r="G137" s="33">
        <f t="shared" si="8"/>
        <v>879.628167</v>
      </c>
      <c r="H137" s="33">
        <f t="shared" si="9"/>
        <v>615.7397169</v>
      </c>
    </row>
    <row r="138" spans="1:8" s="20" customFormat="1" ht="15">
      <c r="A138" s="29" t="s">
        <v>289</v>
      </c>
      <c r="B138" s="42">
        <v>96995</v>
      </c>
      <c r="C138" s="43" t="s">
        <v>290</v>
      </c>
      <c r="D138" s="53">
        <v>0.7</v>
      </c>
      <c r="E138" s="21" t="s">
        <v>22</v>
      </c>
      <c r="F138" s="46">
        <v>45.18</v>
      </c>
      <c r="G138" s="33">
        <f t="shared" si="8"/>
        <v>57.699377999999996</v>
      </c>
      <c r="H138" s="33">
        <f t="shared" si="9"/>
        <v>40.38956459999999</v>
      </c>
    </row>
    <row r="139" spans="1:8" s="20" customFormat="1" ht="37.5">
      <c r="A139" s="29" t="s">
        <v>291</v>
      </c>
      <c r="B139" s="42">
        <v>97888</v>
      </c>
      <c r="C139" s="43" t="s">
        <v>292</v>
      </c>
      <c r="D139" s="53">
        <v>2</v>
      </c>
      <c r="E139" s="21" t="s">
        <v>39</v>
      </c>
      <c r="F139" s="46">
        <v>517.82</v>
      </c>
      <c r="G139" s="33">
        <f t="shared" si="8"/>
        <v>661.307922</v>
      </c>
      <c r="H139" s="33">
        <f t="shared" si="9"/>
        <v>1322.615844</v>
      </c>
    </row>
    <row r="140" spans="1:8" s="20" customFormat="1" ht="37.5">
      <c r="A140" s="29" t="s">
        <v>293</v>
      </c>
      <c r="B140" s="42">
        <v>91926</v>
      </c>
      <c r="C140" s="43" t="s">
        <v>294</v>
      </c>
      <c r="D140" s="53">
        <v>2450</v>
      </c>
      <c r="E140" s="21" t="s">
        <v>42</v>
      </c>
      <c r="F140" s="46">
        <v>4.18</v>
      </c>
      <c r="G140" s="33">
        <f t="shared" si="8"/>
        <v>5.338277999999999</v>
      </c>
      <c r="H140" s="33">
        <f t="shared" si="9"/>
        <v>13078.781099999998</v>
      </c>
    </row>
    <row r="141" spans="1:8" s="20" customFormat="1" ht="37.5">
      <c r="A141" s="29" t="s">
        <v>295</v>
      </c>
      <c r="B141" s="42">
        <v>91928</v>
      </c>
      <c r="C141" s="43" t="s">
        <v>296</v>
      </c>
      <c r="D141" s="53">
        <v>370</v>
      </c>
      <c r="E141" s="21" t="s">
        <v>42</v>
      </c>
      <c r="F141" s="46">
        <v>6.87</v>
      </c>
      <c r="G141" s="33">
        <f t="shared" si="8"/>
        <v>8.773677</v>
      </c>
      <c r="H141" s="33">
        <f t="shared" si="9"/>
        <v>3246.2604899999997</v>
      </c>
    </row>
    <row r="142" spans="1:8" s="20" customFormat="1" ht="37.5">
      <c r="A142" s="29" t="s">
        <v>297</v>
      </c>
      <c r="B142" s="42">
        <v>91929</v>
      </c>
      <c r="C142" s="43" t="s">
        <v>298</v>
      </c>
      <c r="D142" s="53">
        <v>195</v>
      </c>
      <c r="E142" s="21" t="s">
        <v>42</v>
      </c>
      <c r="F142" s="46">
        <v>7.85</v>
      </c>
      <c r="G142" s="33">
        <f t="shared" si="8"/>
        <v>10.025234999999999</v>
      </c>
      <c r="H142" s="33">
        <f t="shared" si="9"/>
        <v>1954.9208249999997</v>
      </c>
    </row>
    <row r="143" spans="1:8" s="20" customFormat="1" ht="37.5">
      <c r="A143" s="29" t="s">
        <v>299</v>
      </c>
      <c r="B143" s="42">
        <v>91931</v>
      </c>
      <c r="C143" s="43" t="s">
        <v>300</v>
      </c>
      <c r="D143" s="53">
        <v>210</v>
      </c>
      <c r="E143" s="21" t="s">
        <v>42</v>
      </c>
      <c r="F143" s="46">
        <v>10.62</v>
      </c>
      <c r="G143" s="33">
        <f t="shared" si="8"/>
        <v>13.562801999999998</v>
      </c>
      <c r="H143" s="33">
        <f t="shared" si="9"/>
        <v>2848.1884199999995</v>
      </c>
    </row>
    <row r="144" spans="1:8" s="20" customFormat="1" ht="37.5">
      <c r="A144" s="29" t="s">
        <v>301</v>
      </c>
      <c r="B144" s="42">
        <v>92982</v>
      </c>
      <c r="C144" s="43" t="s">
        <v>302</v>
      </c>
      <c r="D144" s="53">
        <v>130</v>
      </c>
      <c r="E144" s="21" t="s">
        <v>42</v>
      </c>
      <c r="F144" s="46">
        <v>18.27</v>
      </c>
      <c r="G144" s="33">
        <f t="shared" si="8"/>
        <v>23.332617</v>
      </c>
      <c r="H144" s="33">
        <f t="shared" si="9"/>
        <v>3033.24021</v>
      </c>
    </row>
    <row r="145" spans="1:8" s="20" customFormat="1" ht="37.5">
      <c r="A145" s="29" t="s">
        <v>303</v>
      </c>
      <c r="B145" s="42">
        <v>92984</v>
      </c>
      <c r="C145" s="43" t="s">
        <v>304</v>
      </c>
      <c r="D145" s="53">
        <v>525</v>
      </c>
      <c r="E145" s="21" t="s">
        <v>42</v>
      </c>
      <c r="F145" s="46">
        <v>29.29</v>
      </c>
      <c r="G145" s="33">
        <f t="shared" si="8"/>
        <v>37.406259</v>
      </c>
      <c r="H145" s="33">
        <f t="shared" si="9"/>
        <v>19638.285975</v>
      </c>
    </row>
    <row r="146" spans="1:8" s="20" customFormat="1" ht="37.5">
      <c r="A146" s="29" t="s">
        <v>305</v>
      </c>
      <c r="B146" s="42">
        <v>92986</v>
      </c>
      <c r="C146" s="43" t="s">
        <v>306</v>
      </c>
      <c r="D146" s="53">
        <v>135</v>
      </c>
      <c r="E146" s="21" t="s">
        <v>42</v>
      </c>
      <c r="F146" s="46">
        <v>39.75</v>
      </c>
      <c r="G146" s="33">
        <f t="shared" si="8"/>
        <v>50.764725</v>
      </c>
      <c r="H146" s="33">
        <f t="shared" si="9"/>
        <v>6853.237875</v>
      </c>
    </row>
    <row r="147" spans="1:8" s="20" customFormat="1" ht="37.5">
      <c r="A147" s="29" t="s">
        <v>307</v>
      </c>
      <c r="B147" s="42">
        <v>92988</v>
      </c>
      <c r="C147" s="43" t="s">
        <v>308</v>
      </c>
      <c r="D147" s="53">
        <v>235</v>
      </c>
      <c r="E147" s="21" t="s">
        <v>42</v>
      </c>
      <c r="F147" s="46">
        <v>55.94</v>
      </c>
      <c r="G147" s="33">
        <f t="shared" si="8"/>
        <v>71.440974</v>
      </c>
      <c r="H147" s="33">
        <f t="shared" si="9"/>
        <v>16788.62889</v>
      </c>
    </row>
    <row r="148" spans="1:8" s="20" customFormat="1" ht="37.5">
      <c r="A148" s="29" t="s">
        <v>309</v>
      </c>
      <c r="B148" s="42">
        <v>93654</v>
      </c>
      <c r="C148" s="43" t="s">
        <v>310</v>
      </c>
      <c r="D148" s="53">
        <v>2</v>
      </c>
      <c r="E148" s="21" t="s">
        <v>39</v>
      </c>
      <c r="F148" s="46">
        <v>11.87</v>
      </c>
      <c r="G148" s="33">
        <f t="shared" si="8"/>
        <v>15.159176999999998</v>
      </c>
      <c r="H148" s="33">
        <f t="shared" si="9"/>
        <v>30.318353999999996</v>
      </c>
    </row>
    <row r="149" spans="1:8" s="20" customFormat="1" ht="37.5">
      <c r="A149" s="29" t="s">
        <v>311</v>
      </c>
      <c r="B149" s="42">
        <v>93655</v>
      </c>
      <c r="C149" s="43" t="s">
        <v>312</v>
      </c>
      <c r="D149" s="53">
        <v>27</v>
      </c>
      <c r="E149" s="21" t="s">
        <v>39</v>
      </c>
      <c r="F149" s="46">
        <v>13</v>
      </c>
      <c r="G149" s="33">
        <f t="shared" si="8"/>
        <v>16.6023</v>
      </c>
      <c r="H149" s="33">
        <f t="shared" si="9"/>
        <v>448.2621</v>
      </c>
    </row>
    <row r="150" spans="1:8" s="20" customFormat="1" ht="37.5">
      <c r="A150" s="29" t="s">
        <v>313</v>
      </c>
      <c r="B150" s="42">
        <v>93656</v>
      </c>
      <c r="C150" s="43" t="s">
        <v>314</v>
      </c>
      <c r="D150" s="53">
        <v>8</v>
      </c>
      <c r="E150" s="21" t="s">
        <v>39</v>
      </c>
      <c r="F150" s="46">
        <v>13</v>
      </c>
      <c r="G150" s="33">
        <f t="shared" si="8"/>
        <v>16.6023</v>
      </c>
      <c r="H150" s="33">
        <f t="shared" si="9"/>
        <v>132.8184</v>
      </c>
    </row>
    <row r="151" spans="1:8" s="20" customFormat="1" ht="37.5">
      <c r="A151" s="29" t="s">
        <v>315</v>
      </c>
      <c r="B151" s="42">
        <v>93657</v>
      </c>
      <c r="C151" s="43" t="s">
        <v>316</v>
      </c>
      <c r="D151" s="53">
        <v>5</v>
      </c>
      <c r="E151" s="21" t="s">
        <v>39</v>
      </c>
      <c r="F151" s="46">
        <v>14.35</v>
      </c>
      <c r="G151" s="33">
        <f t="shared" si="8"/>
        <v>18.326385</v>
      </c>
      <c r="H151" s="33">
        <f t="shared" si="9"/>
        <v>91.631925</v>
      </c>
    </row>
    <row r="152" spans="1:8" s="20" customFormat="1" ht="15">
      <c r="A152" s="29" t="s">
        <v>317</v>
      </c>
      <c r="B152" s="42">
        <v>93670</v>
      </c>
      <c r="C152" s="43" t="s">
        <v>318</v>
      </c>
      <c r="D152" s="53">
        <v>1</v>
      </c>
      <c r="E152" s="21" t="s">
        <v>39</v>
      </c>
      <c r="F152" s="46">
        <v>74.17</v>
      </c>
      <c r="G152" s="33">
        <f t="shared" si="8"/>
        <v>94.722507</v>
      </c>
      <c r="H152" s="33">
        <f t="shared" si="9"/>
        <v>94.722507</v>
      </c>
    </row>
    <row r="153" spans="1:8" s="20" customFormat="1" ht="15">
      <c r="A153" s="29" t="s">
        <v>319</v>
      </c>
      <c r="B153" s="42">
        <v>93673</v>
      </c>
      <c r="C153" s="43" t="s">
        <v>320</v>
      </c>
      <c r="D153" s="53">
        <v>1</v>
      </c>
      <c r="E153" s="21" t="s">
        <v>39</v>
      </c>
      <c r="F153" s="46">
        <v>92.47</v>
      </c>
      <c r="G153" s="33">
        <f t="shared" si="8"/>
        <v>118.093437</v>
      </c>
      <c r="H153" s="33">
        <f t="shared" si="9"/>
        <v>118.093437</v>
      </c>
    </row>
    <row r="154" spans="1:8" s="20" customFormat="1" ht="15">
      <c r="A154" s="29" t="s">
        <v>321</v>
      </c>
      <c r="B154" s="42">
        <v>101894</v>
      </c>
      <c r="C154" s="43" t="s">
        <v>322</v>
      </c>
      <c r="D154" s="53">
        <v>4</v>
      </c>
      <c r="E154" s="21" t="s">
        <v>39</v>
      </c>
      <c r="F154" s="46">
        <v>149.98</v>
      </c>
      <c r="G154" s="33">
        <f t="shared" si="8"/>
        <v>191.53945799999997</v>
      </c>
      <c r="H154" s="33">
        <f t="shared" si="9"/>
        <v>766.1578319999999</v>
      </c>
    </row>
    <row r="155" spans="1:8" s="20" customFormat="1" ht="37.5">
      <c r="A155" s="29" t="s">
        <v>323</v>
      </c>
      <c r="B155" s="42" t="s">
        <v>324</v>
      </c>
      <c r="C155" s="43" t="s">
        <v>325</v>
      </c>
      <c r="D155" s="53">
        <v>1</v>
      </c>
      <c r="E155" s="21" t="s">
        <v>39</v>
      </c>
      <c r="F155" s="46">
        <v>405.49</v>
      </c>
      <c r="G155" s="33">
        <f t="shared" si="8"/>
        <v>517.851279</v>
      </c>
      <c r="H155" s="33">
        <f t="shared" si="9"/>
        <v>517.851279</v>
      </c>
    </row>
    <row r="156" spans="1:8" s="20" customFormat="1" ht="37.5">
      <c r="A156" s="29" t="s">
        <v>326</v>
      </c>
      <c r="B156" s="42" t="s">
        <v>327</v>
      </c>
      <c r="C156" s="43" t="s">
        <v>328</v>
      </c>
      <c r="D156" s="53">
        <v>1</v>
      </c>
      <c r="E156" s="21" t="s">
        <v>39</v>
      </c>
      <c r="F156" s="46">
        <v>410.05</v>
      </c>
      <c r="G156" s="33">
        <f t="shared" si="8"/>
        <v>523.674855</v>
      </c>
      <c r="H156" s="33">
        <f t="shared" si="9"/>
        <v>523.674855</v>
      </c>
    </row>
    <row r="157" spans="1:8" s="20" customFormat="1" ht="37.5">
      <c r="A157" s="29" t="s">
        <v>329</v>
      </c>
      <c r="B157" s="42">
        <v>101896</v>
      </c>
      <c r="C157" s="43" t="s">
        <v>330</v>
      </c>
      <c r="D157" s="53">
        <v>2</v>
      </c>
      <c r="E157" s="21" t="s">
        <v>39</v>
      </c>
      <c r="F157" s="46">
        <v>617.35</v>
      </c>
      <c r="G157" s="33">
        <f t="shared" si="8"/>
        <v>788.417685</v>
      </c>
      <c r="H157" s="33">
        <f t="shared" si="9"/>
        <v>1576.83537</v>
      </c>
    </row>
    <row r="158" spans="1:8" s="20" customFormat="1" ht="15">
      <c r="A158" s="29" t="s">
        <v>331</v>
      </c>
      <c r="B158" s="42" t="s">
        <v>332</v>
      </c>
      <c r="C158" s="43" t="s">
        <v>333</v>
      </c>
      <c r="D158" s="53">
        <v>5</v>
      </c>
      <c r="E158" s="21" t="s">
        <v>39</v>
      </c>
      <c r="F158" s="46">
        <v>145.88</v>
      </c>
      <c r="G158" s="33">
        <f t="shared" si="8"/>
        <v>186.30334799999997</v>
      </c>
      <c r="H158" s="33">
        <f t="shared" si="9"/>
        <v>931.5167399999998</v>
      </c>
    </row>
    <row r="159" spans="1:8" s="20" customFormat="1" ht="15">
      <c r="A159" s="29" t="s">
        <v>334</v>
      </c>
      <c r="B159" s="42" t="s">
        <v>335</v>
      </c>
      <c r="C159" s="43" t="s">
        <v>336</v>
      </c>
      <c r="D159" s="53">
        <v>5</v>
      </c>
      <c r="E159" s="21" t="s">
        <v>39</v>
      </c>
      <c r="F159" s="46">
        <v>148.27</v>
      </c>
      <c r="G159" s="33">
        <f t="shared" si="8"/>
        <v>189.355617</v>
      </c>
      <c r="H159" s="33">
        <f t="shared" si="9"/>
        <v>946.7780849999999</v>
      </c>
    </row>
    <row r="160" spans="1:8" s="20" customFormat="1" ht="37.5">
      <c r="A160" s="29" t="s">
        <v>337</v>
      </c>
      <c r="B160" s="42" t="s">
        <v>338</v>
      </c>
      <c r="C160" s="43" t="s">
        <v>339</v>
      </c>
      <c r="D160" s="53">
        <v>42</v>
      </c>
      <c r="E160" s="21" t="s">
        <v>39</v>
      </c>
      <c r="F160" s="46">
        <v>273.86</v>
      </c>
      <c r="G160" s="33">
        <f t="shared" si="8"/>
        <v>349.746606</v>
      </c>
      <c r="H160" s="33">
        <f t="shared" si="9"/>
        <v>14689.357452</v>
      </c>
    </row>
    <row r="161" spans="1:8" s="20" customFormat="1" ht="15">
      <c r="A161" s="29" t="s">
        <v>340</v>
      </c>
      <c r="B161" s="42" t="s">
        <v>341</v>
      </c>
      <c r="C161" s="43" t="s">
        <v>342</v>
      </c>
      <c r="D161" s="53">
        <v>6</v>
      </c>
      <c r="E161" s="21" t="s">
        <v>39</v>
      </c>
      <c r="F161" s="46">
        <v>118.24</v>
      </c>
      <c r="G161" s="33">
        <f t="shared" si="8"/>
        <v>151.004304</v>
      </c>
      <c r="H161" s="33">
        <f t="shared" si="9"/>
        <v>906.025824</v>
      </c>
    </row>
    <row r="162" spans="1:8" s="20" customFormat="1" ht="37.5">
      <c r="A162" s="29" t="s">
        <v>343</v>
      </c>
      <c r="B162" s="42">
        <v>97599</v>
      </c>
      <c r="C162" s="43" t="s">
        <v>344</v>
      </c>
      <c r="D162" s="53">
        <v>8</v>
      </c>
      <c r="E162" s="21" t="s">
        <v>39</v>
      </c>
      <c r="F162" s="46">
        <v>26.58</v>
      </c>
      <c r="G162" s="33">
        <f t="shared" si="8"/>
        <v>33.94531799999999</v>
      </c>
      <c r="H162" s="33">
        <f t="shared" si="9"/>
        <v>271.56254399999995</v>
      </c>
    </row>
    <row r="163" spans="1:8" s="20" customFormat="1" ht="15">
      <c r="A163" s="29" t="s">
        <v>345</v>
      </c>
      <c r="B163" s="42" t="s">
        <v>346</v>
      </c>
      <c r="C163" s="43" t="s">
        <v>347</v>
      </c>
      <c r="D163" s="53">
        <v>3</v>
      </c>
      <c r="E163" s="21" t="s">
        <v>39</v>
      </c>
      <c r="F163" s="46">
        <v>286.44</v>
      </c>
      <c r="G163" s="33">
        <f aca="true" t="shared" si="10" ref="G163:G194">F163*1.2771</f>
        <v>365.812524</v>
      </c>
      <c r="H163" s="33">
        <f aca="true" t="shared" si="11" ref="H163:H194">D163*G163</f>
        <v>1097.437572</v>
      </c>
    </row>
    <row r="164" spans="1:8" s="20" customFormat="1" ht="37.5">
      <c r="A164" s="29" t="s">
        <v>348</v>
      </c>
      <c r="B164" s="42">
        <v>91953</v>
      </c>
      <c r="C164" s="43" t="s">
        <v>349</v>
      </c>
      <c r="D164" s="53">
        <v>15</v>
      </c>
      <c r="E164" s="21" t="s">
        <v>39</v>
      </c>
      <c r="F164" s="46">
        <v>24.79</v>
      </c>
      <c r="G164" s="33">
        <f t="shared" si="10"/>
        <v>31.659308999999997</v>
      </c>
      <c r="H164" s="33">
        <f t="shared" si="11"/>
        <v>474.88963499999994</v>
      </c>
    </row>
    <row r="165" spans="1:8" s="20" customFormat="1" ht="37.5">
      <c r="A165" s="29" t="s">
        <v>350</v>
      </c>
      <c r="B165" s="42">
        <v>91955</v>
      </c>
      <c r="C165" s="43" t="s">
        <v>351</v>
      </c>
      <c r="D165" s="53">
        <v>10</v>
      </c>
      <c r="E165" s="21" t="s">
        <v>39</v>
      </c>
      <c r="F165" s="46">
        <v>30.64</v>
      </c>
      <c r="G165" s="33">
        <f t="shared" si="10"/>
        <v>39.130344</v>
      </c>
      <c r="H165" s="33">
        <f t="shared" si="11"/>
        <v>391.30344</v>
      </c>
    </row>
    <row r="166" spans="1:8" s="20" customFormat="1" ht="37.5">
      <c r="A166" s="29" t="s">
        <v>352</v>
      </c>
      <c r="B166" s="42">
        <v>91959</v>
      </c>
      <c r="C166" s="43" t="s">
        <v>353</v>
      </c>
      <c r="D166" s="53">
        <v>4</v>
      </c>
      <c r="E166" s="21" t="s">
        <v>39</v>
      </c>
      <c r="F166" s="46">
        <v>39.35</v>
      </c>
      <c r="G166" s="33">
        <f t="shared" si="10"/>
        <v>50.253885</v>
      </c>
      <c r="H166" s="33">
        <f t="shared" si="11"/>
        <v>201.01554</v>
      </c>
    </row>
    <row r="167" spans="1:8" s="20" customFormat="1" ht="37.5">
      <c r="A167" s="29" t="s">
        <v>354</v>
      </c>
      <c r="B167" s="42">
        <v>91992</v>
      </c>
      <c r="C167" s="43" t="s">
        <v>355</v>
      </c>
      <c r="D167" s="53">
        <v>4</v>
      </c>
      <c r="E167" s="21" t="s">
        <v>39</v>
      </c>
      <c r="F167" s="46">
        <v>37.64</v>
      </c>
      <c r="G167" s="33">
        <f t="shared" si="10"/>
        <v>48.070043999999996</v>
      </c>
      <c r="H167" s="33">
        <f t="shared" si="11"/>
        <v>192.28017599999998</v>
      </c>
    </row>
    <row r="168" spans="1:8" s="20" customFormat="1" ht="37.5">
      <c r="A168" s="29" t="s">
        <v>356</v>
      </c>
      <c r="B168" s="42">
        <v>91997</v>
      </c>
      <c r="C168" s="43" t="s">
        <v>357</v>
      </c>
      <c r="D168" s="53">
        <v>37</v>
      </c>
      <c r="E168" s="21" t="s">
        <v>39</v>
      </c>
      <c r="F168" s="46">
        <v>31.77</v>
      </c>
      <c r="G168" s="33">
        <f t="shared" si="10"/>
        <v>40.573466999999994</v>
      </c>
      <c r="H168" s="33">
        <f t="shared" si="11"/>
        <v>1501.2182789999997</v>
      </c>
    </row>
    <row r="169" spans="1:8" s="20" customFormat="1" ht="37.5">
      <c r="A169" s="29" t="s">
        <v>358</v>
      </c>
      <c r="B169" s="42">
        <v>92000</v>
      </c>
      <c r="C169" s="43" t="s">
        <v>359</v>
      </c>
      <c r="D169" s="53">
        <v>19</v>
      </c>
      <c r="E169" s="21" t="s">
        <v>39</v>
      </c>
      <c r="F169" s="46">
        <v>26.24</v>
      </c>
      <c r="G169" s="33">
        <f t="shared" si="10"/>
        <v>33.511103999999996</v>
      </c>
      <c r="H169" s="33">
        <f t="shared" si="11"/>
        <v>636.710976</v>
      </c>
    </row>
    <row r="170" spans="1:8" s="20" customFormat="1" ht="37.5">
      <c r="A170" s="29" t="s">
        <v>360</v>
      </c>
      <c r="B170" s="42">
        <v>92005</v>
      </c>
      <c r="C170" s="43" t="s">
        <v>361</v>
      </c>
      <c r="D170" s="53">
        <v>5</v>
      </c>
      <c r="E170" s="21" t="s">
        <v>39</v>
      </c>
      <c r="F170" s="46">
        <v>53.28</v>
      </c>
      <c r="G170" s="33">
        <f t="shared" si="10"/>
        <v>68.043888</v>
      </c>
      <c r="H170" s="33">
        <f t="shared" si="11"/>
        <v>340.21943999999996</v>
      </c>
    </row>
    <row r="171" spans="1:8" s="20" customFormat="1" ht="37.5">
      <c r="A171" s="29" t="s">
        <v>362</v>
      </c>
      <c r="B171" s="42">
        <v>92008</v>
      </c>
      <c r="C171" s="43" t="s">
        <v>363</v>
      </c>
      <c r="D171" s="53">
        <v>8</v>
      </c>
      <c r="E171" s="21" t="s">
        <v>39</v>
      </c>
      <c r="F171" s="46">
        <v>42.23</v>
      </c>
      <c r="G171" s="33">
        <f t="shared" si="10"/>
        <v>53.931932999999994</v>
      </c>
      <c r="H171" s="33">
        <f t="shared" si="11"/>
        <v>431.45546399999995</v>
      </c>
    </row>
    <row r="172" spans="1:8" s="20" customFormat="1" ht="15">
      <c r="A172" s="29"/>
      <c r="B172" s="54"/>
      <c r="C172" s="28" t="s">
        <v>364</v>
      </c>
      <c r="D172" s="28"/>
      <c r="E172" s="21"/>
      <c r="F172" s="46"/>
      <c r="G172" s="33"/>
      <c r="H172" s="33"/>
    </row>
    <row r="173" spans="1:8" s="20" customFormat="1" ht="37.5">
      <c r="A173" s="29" t="s">
        <v>365</v>
      </c>
      <c r="B173" s="42" t="s">
        <v>221</v>
      </c>
      <c r="C173" s="43" t="s">
        <v>222</v>
      </c>
      <c r="D173" s="53">
        <v>55</v>
      </c>
      <c r="E173" s="21" t="s">
        <v>42</v>
      </c>
      <c r="F173" s="46">
        <v>95.06</v>
      </c>
      <c r="G173" s="33">
        <f aca="true" t="shared" si="12" ref="G173:G189">F173*1.2771</f>
        <v>121.40112599999999</v>
      </c>
      <c r="H173" s="33">
        <f aca="true" t="shared" si="13" ref="H173:H189">D173*G173</f>
        <v>6677.06193</v>
      </c>
    </row>
    <row r="174" spans="1:8" s="20" customFormat="1" ht="15">
      <c r="A174" s="29" t="s">
        <v>366</v>
      </c>
      <c r="B174" s="42" t="s">
        <v>230</v>
      </c>
      <c r="C174" s="43" t="s">
        <v>231</v>
      </c>
      <c r="D174" s="53">
        <v>13</v>
      </c>
      <c r="E174" s="21" t="s">
        <v>39</v>
      </c>
      <c r="F174" s="46">
        <v>14.35</v>
      </c>
      <c r="G174" s="33">
        <f t="shared" si="12"/>
        <v>18.326385</v>
      </c>
      <c r="H174" s="33">
        <f t="shared" si="13"/>
        <v>238.24300499999998</v>
      </c>
    </row>
    <row r="175" spans="1:8" s="20" customFormat="1" ht="37.5">
      <c r="A175" s="29" t="s">
        <v>367</v>
      </c>
      <c r="B175" s="42" t="s">
        <v>236</v>
      </c>
      <c r="C175" s="43" t="s">
        <v>237</v>
      </c>
      <c r="D175" s="53">
        <v>2</v>
      </c>
      <c r="E175" s="21" t="s">
        <v>39</v>
      </c>
      <c r="F175" s="46">
        <v>108.65</v>
      </c>
      <c r="G175" s="33">
        <f t="shared" si="12"/>
        <v>138.756915</v>
      </c>
      <c r="H175" s="33">
        <f t="shared" si="13"/>
        <v>277.51383</v>
      </c>
    </row>
    <row r="176" spans="1:8" s="20" customFormat="1" ht="37.5">
      <c r="A176" s="29" t="s">
        <v>368</v>
      </c>
      <c r="B176" s="42" t="s">
        <v>239</v>
      </c>
      <c r="C176" s="43" t="s">
        <v>240</v>
      </c>
      <c r="D176" s="53">
        <v>4</v>
      </c>
      <c r="E176" s="21" t="s">
        <v>39</v>
      </c>
      <c r="F176" s="46">
        <v>88.65</v>
      </c>
      <c r="G176" s="33">
        <f t="shared" si="12"/>
        <v>113.214915</v>
      </c>
      <c r="H176" s="33">
        <f t="shared" si="13"/>
        <v>452.85966</v>
      </c>
    </row>
    <row r="177" spans="1:8" s="20" customFormat="1" ht="37.5">
      <c r="A177" s="29" t="s">
        <v>369</v>
      </c>
      <c r="B177" s="42" t="s">
        <v>370</v>
      </c>
      <c r="C177" s="43" t="s">
        <v>371</v>
      </c>
      <c r="D177" s="53">
        <v>3</v>
      </c>
      <c r="E177" s="21" t="s">
        <v>39</v>
      </c>
      <c r="F177" s="46">
        <v>93.65</v>
      </c>
      <c r="G177" s="33">
        <f t="shared" si="12"/>
        <v>119.600415</v>
      </c>
      <c r="H177" s="33">
        <f t="shared" si="13"/>
        <v>358.801245</v>
      </c>
    </row>
    <row r="178" spans="1:8" s="20" customFormat="1" ht="37.5">
      <c r="A178" s="29" t="s">
        <v>372</v>
      </c>
      <c r="B178" s="42" t="s">
        <v>373</v>
      </c>
      <c r="C178" s="43" t="s">
        <v>374</v>
      </c>
      <c r="D178" s="53">
        <v>1</v>
      </c>
      <c r="E178" s="21" t="s">
        <v>39</v>
      </c>
      <c r="F178" s="46">
        <v>86.37</v>
      </c>
      <c r="G178" s="33">
        <f t="shared" si="12"/>
        <v>110.303127</v>
      </c>
      <c r="H178" s="33">
        <f t="shared" si="13"/>
        <v>110.303127</v>
      </c>
    </row>
    <row r="179" spans="1:8" s="20" customFormat="1" ht="37.5">
      <c r="A179" s="29" t="s">
        <v>375</v>
      </c>
      <c r="B179" s="42">
        <v>91872</v>
      </c>
      <c r="C179" s="43" t="s">
        <v>262</v>
      </c>
      <c r="D179" s="53">
        <v>46</v>
      </c>
      <c r="E179" s="21" t="s">
        <v>42</v>
      </c>
      <c r="F179" s="46">
        <v>16.64</v>
      </c>
      <c r="G179" s="33">
        <f t="shared" si="12"/>
        <v>21.250944</v>
      </c>
      <c r="H179" s="33">
        <f t="shared" si="13"/>
        <v>977.5434240000001</v>
      </c>
    </row>
    <row r="180" spans="1:8" s="20" customFormat="1" ht="37.5">
      <c r="A180" s="29" t="s">
        <v>376</v>
      </c>
      <c r="B180" s="42">
        <v>91864</v>
      </c>
      <c r="C180" s="43" t="s">
        <v>266</v>
      </c>
      <c r="D180" s="53">
        <v>18</v>
      </c>
      <c r="E180" s="21" t="s">
        <v>42</v>
      </c>
      <c r="F180" s="46">
        <v>15.68</v>
      </c>
      <c r="G180" s="33">
        <f t="shared" si="12"/>
        <v>20.024928</v>
      </c>
      <c r="H180" s="33">
        <f t="shared" si="13"/>
        <v>360.44870399999996</v>
      </c>
    </row>
    <row r="181" spans="1:8" s="20" customFormat="1" ht="37.5">
      <c r="A181" s="29" t="s">
        <v>377</v>
      </c>
      <c r="B181" s="42">
        <v>91885</v>
      </c>
      <c r="C181" s="43" t="s">
        <v>378</v>
      </c>
      <c r="D181" s="53">
        <v>41</v>
      </c>
      <c r="E181" s="21" t="s">
        <v>39</v>
      </c>
      <c r="F181" s="46">
        <v>9.99</v>
      </c>
      <c r="G181" s="33">
        <f t="shared" si="12"/>
        <v>12.758229</v>
      </c>
      <c r="H181" s="33">
        <f t="shared" si="13"/>
        <v>523.087389</v>
      </c>
    </row>
    <row r="182" spans="1:8" s="20" customFormat="1" ht="37.5">
      <c r="A182" s="29" t="s">
        <v>379</v>
      </c>
      <c r="B182" s="42">
        <v>91917</v>
      </c>
      <c r="C182" s="43" t="s">
        <v>380</v>
      </c>
      <c r="D182" s="53">
        <v>13</v>
      </c>
      <c r="E182" s="21" t="s">
        <v>39</v>
      </c>
      <c r="F182" s="46">
        <v>17.07</v>
      </c>
      <c r="G182" s="33">
        <f t="shared" si="12"/>
        <v>21.800096999999997</v>
      </c>
      <c r="H182" s="33">
        <f t="shared" si="13"/>
        <v>283.401261</v>
      </c>
    </row>
    <row r="183" spans="1:8" s="20" customFormat="1" ht="37.5">
      <c r="A183" s="29" t="s">
        <v>381</v>
      </c>
      <c r="B183" s="42">
        <v>91941</v>
      </c>
      <c r="C183" s="43" t="s">
        <v>210</v>
      </c>
      <c r="D183" s="53">
        <v>13</v>
      </c>
      <c r="E183" s="21" t="s">
        <v>39</v>
      </c>
      <c r="F183" s="46">
        <v>9.78</v>
      </c>
      <c r="G183" s="33">
        <f t="shared" si="12"/>
        <v>12.490037999999998</v>
      </c>
      <c r="H183" s="33">
        <f t="shared" si="13"/>
        <v>162.37049399999998</v>
      </c>
    </row>
    <row r="184" spans="1:8" s="20" customFormat="1" ht="15">
      <c r="A184" s="29" t="s">
        <v>382</v>
      </c>
      <c r="B184" s="42" t="s">
        <v>383</v>
      </c>
      <c r="C184" s="43" t="s">
        <v>384</v>
      </c>
      <c r="D184" s="53">
        <v>130</v>
      </c>
      <c r="E184" s="21" t="s">
        <v>42</v>
      </c>
      <c r="F184" s="46">
        <v>10.83</v>
      </c>
      <c r="G184" s="33">
        <f t="shared" si="12"/>
        <v>13.830993</v>
      </c>
      <c r="H184" s="33">
        <f t="shared" si="13"/>
        <v>1798.02909</v>
      </c>
    </row>
    <row r="185" spans="1:8" s="20" customFormat="1" ht="15">
      <c r="A185" s="29" t="s">
        <v>385</v>
      </c>
      <c r="B185" s="42" t="s">
        <v>386</v>
      </c>
      <c r="C185" s="43" t="s">
        <v>387</v>
      </c>
      <c r="D185" s="53">
        <v>2</v>
      </c>
      <c r="E185" s="21" t="s">
        <v>388</v>
      </c>
      <c r="F185" s="46">
        <v>109.13</v>
      </c>
      <c r="G185" s="33">
        <f t="shared" si="12"/>
        <v>139.36992299999997</v>
      </c>
      <c r="H185" s="33">
        <f t="shared" si="13"/>
        <v>278.73984599999994</v>
      </c>
    </row>
    <row r="186" spans="1:8" s="20" customFormat="1" ht="15">
      <c r="A186" s="29" t="s">
        <v>389</v>
      </c>
      <c r="B186" s="42" t="s">
        <v>390</v>
      </c>
      <c r="C186" s="43" t="s">
        <v>391</v>
      </c>
      <c r="D186" s="53">
        <v>1</v>
      </c>
      <c r="E186" s="21" t="s">
        <v>39</v>
      </c>
      <c r="F186" s="46">
        <v>510</v>
      </c>
      <c r="G186" s="33">
        <f t="shared" si="12"/>
        <v>651.3209999999999</v>
      </c>
      <c r="H186" s="33">
        <f t="shared" si="13"/>
        <v>651.3209999999999</v>
      </c>
    </row>
    <row r="187" spans="1:364" s="55" customFormat="1" ht="15">
      <c r="A187" s="29" t="s">
        <v>392</v>
      </c>
      <c r="B187" s="42">
        <v>98302</v>
      </c>
      <c r="C187" s="43" t="s">
        <v>393</v>
      </c>
      <c r="D187" s="53">
        <v>1</v>
      </c>
      <c r="E187" s="21" t="s">
        <v>39</v>
      </c>
      <c r="F187" s="46">
        <v>732.53</v>
      </c>
      <c r="G187" s="33">
        <f t="shared" si="12"/>
        <v>935.5140629999999</v>
      </c>
      <c r="H187" s="33">
        <f t="shared" si="13"/>
        <v>935.5140629999999</v>
      </c>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41"/>
      <c r="CC187" s="41"/>
      <c r="CD187" s="41"/>
      <c r="CE187" s="41"/>
      <c r="CF187" s="41"/>
      <c r="CG187" s="41"/>
      <c r="CH187" s="41"/>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c r="DF187" s="41"/>
      <c r="DG187" s="41"/>
      <c r="DH187" s="41"/>
      <c r="DI187" s="41"/>
      <c r="DJ187" s="41"/>
      <c r="DK187" s="41"/>
      <c r="DL187" s="41"/>
      <c r="DM187" s="41"/>
      <c r="DN187" s="41"/>
      <c r="DO187" s="41"/>
      <c r="DP187" s="41"/>
      <c r="DQ187" s="41"/>
      <c r="DR187" s="41"/>
      <c r="DS187" s="41"/>
      <c r="DT187" s="41"/>
      <c r="DU187" s="41"/>
      <c r="DV187" s="41"/>
      <c r="DW187" s="41"/>
      <c r="DX187" s="41"/>
      <c r="DY187" s="41"/>
      <c r="DZ187" s="41"/>
      <c r="EA187" s="41"/>
      <c r="EB187" s="41"/>
      <c r="EC187" s="41"/>
      <c r="ED187" s="41"/>
      <c r="EE187" s="41"/>
      <c r="EF187" s="41"/>
      <c r="EG187" s="41"/>
      <c r="EH187" s="41"/>
      <c r="EI187" s="41"/>
      <c r="EJ187" s="41"/>
      <c r="EK187" s="41"/>
      <c r="EL187" s="41"/>
      <c r="EM187" s="41"/>
      <c r="EN187" s="41"/>
      <c r="EO187" s="41"/>
      <c r="EP187" s="41"/>
      <c r="EQ187" s="41"/>
      <c r="ER187" s="41"/>
      <c r="ES187" s="41"/>
      <c r="ET187" s="41"/>
      <c r="EU187" s="41"/>
      <c r="EV187" s="41"/>
      <c r="EW187" s="41"/>
      <c r="EX187" s="41"/>
      <c r="EY187" s="41"/>
      <c r="EZ187" s="41"/>
      <c r="FA187" s="41"/>
      <c r="FB187" s="41"/>
      <c r="FC187" s="41"/>
      <c r="FD187" s="41"/>
      <c r="FE187" s="41"/>
      <c r="FF187" s="41"/>
      <c r="FG187" s="41"/>
      <c r="FH187" s="41"/>
      <c r="FI187" s="41"/>
      <c r="FJ187" s="41"/>
      <c r="FK187" s="41"/>
      <c r="FL187" s="41"/>
      <c r="FM187" s="41"/>
      <c r="FN187" s="41"/>
      <c r="FO187" s="41"/>
      <c r="FP187" s="41"/>
      <c r="FQ187" s="41"/>
      <c r="FR187" s="41"/>
      <c r="FS187" s="41"/>
      <c r="FT187" s="41"/>
      <c r="FU187" s="41"/>
      <c r="FV187" s="41"/>
      <c r="FW187" s="41"/>
      <c r="FX187" s="41"/>
      <c r="FY187" s="41"/>
      <c r="FZ187" s="41"/>
      <c r="GA187" s="41"/>
      <c r="GB187" s="41"/>
      <c r="GC187" s="41"/>
      <c r="GD187" s="41"/>
      <c r="GE187" s="41"/>
      <c r="GF187" s="41"/>
      <c r="GG187" s="41"/>
      <c r="GH187" s="41"/>
      <c r="GI187" s="41"/>
      <c r="GJ187" s="41"/>
      <c r="GK187" s="41"/>
      <c r="GL187" s="41"/>
      <c r="GM187" s="41"/>
      <c r="GN187" s="41"/>
      <c r="GO187" s="41"/>
      <c r="GP187" s="41"/>
      <c r="GQ187" s="41"/>
      <c r="GR187" s="41"/>
      <c r="GS187" s="41"/>
      <c r="GT187" s="41"/>
      <c r="GU187" s="41"/>
      <c r="GV187" s="41"/>
      <c r="GW187" s="41"/>
      <c r="GX187" s="41"/>
      <c r="GY187" s="41"/>
      <c r="GZ187" s="41"/>
      <c r="HA187" s="41"/>
      <c r="HB187" s="41"/>
      <c r="HC187" s="41"/>
      <c r="HD187" s="41"/>
      <c r="HE187" s="41"/>
      <c r="HF187" s="41"/>
      <c r="HG187" s="41"/>
      <c r="HH187" s="41"/>
      <c r="HI187" s="41"/>
      <c r="HJ187" s="41"/>
      <c r="HK187" s="41"/>
      <c r="HL187" s="41"/>
      <c r="HM187" s="41"/>
      <c r="HN187" s="41"/>
      <c r="HO187" s="41"/>
      <c r="HP187" s="41"/>
      <c r="HQ187" s="41"/>
      <c r="HR187" s="41"/>
      <c r="HS187" s="41"/>
      <c r="HT187" s="41"/>
      <c r="HU187" s="41"/>
      <c r="HV187" s="41"/>
      <c r="HW187" s="41"/>
      <c r="HX187" s="41"/>
      <c r="HY187" s="41"/>
      <c r="HZ187" s="41"/>
      <c r="IA187" s="41"/>
      <c r="IB187" s="41"/>
      <c r="IC187" s="41"/>
      <c r="ID187" s="41"/>
      <c r="IE187" s="41"/>
      <c r="IF187" s="41"/>
      <c r="IG187" s="41"/>
      <c r="IH187" s="41"/>
      <c r="II187" s="41"/>
      <c r="IJ187" s="41"/>
      <c r="IK187" s="41"/>
      <c r="IL187" s="41"/>
      <c r="IM187" s="41"/>
      <c r="IN187" s="41"/>
      <c r="IO187" s="41"/>
      <c r="IP187" s="41"/>
      <c r="IQ187" s="41"/>
      <c r="IR187" s="41"/>
      <c r="IS187" s="41"/>
      <c r="IT187" s="41"/>
      <c r="IU187" s="41"/>
      <c r="IV187" s="41"/>
      <c r="IW187" s="41"/>
      <c r="IX187" s="41"/>
      <c r="IY187" s="41"/>
      <c r="IZ187" s="41"/>
      <c r="JA187" s="41"/>
      <c r="JB187" s="41"/>
      <c r="JC187" s="41"/>
      <c r="JD187" s="41"/>
      <c r="JE187" s="41"/>
      <c r="JF187" s="41"/>
      <c r="JG187" s="41"/>
      <c r="JH187" s="41"/>
      <c r="JI187" s="41"/>
      <c r="JJ187" s="41"/>
      <c r="JK187" s="41"/>
      <c r="JL187" s="41"/>
      <c r="JM187" s="41"/>
      <c r="JN187" s="41"/>
      <c r="JO187" s="41"/>
      <c r="JP187" s="41"/>
      <c r="JQ187" s="41"/>
      <c r="JR187" s="41"/>
      <c r="JS187" s="41"/>
      <c r="JT187" s="41"/>
      <c r="JU187" s="41"/>
      <c r="JV187" s="41"/>
      <c r="JW187" s="41"/>
      <c r="JX187" s="41"/>
      <c r="JY187" s="41"/>
      <c r="JZ187" s="41"/>
      <c r="KA187" s="41"/>
      <c r="KB187" s="41"/>
      <c r="KC187" s="41"/>
      <c r="KD187" s="41"/>
      <c r="KE187" s="41"/>
      <c r="KF187" s="41"/>
      <c r="KG187" s="41"/>
      <c r="KH187" s="41"/>
      <c r="KI187" s="41"/>
      <c r="KJ187" s="41"/>
      <c r="KK187" s="41"/>
      <c r="KL187" s="41"/>
      <c r="KM187" s="41"/>
      <c r="KN187" s="41"/>
      <c r="KO187" s="41"/>
      <c r="KP187" s="41"/>
      <c r="KQ187" s="41"/>
      <c r="KR187" s="41"/>
      <c r="KS187" s="41"/>
      <c r="KT187" s="41"/>
      <c r="KU187" s="41"/>
      <c r="KV187" s="41"/>
      <c r="KW187" s="41"/>
      <c r="KX187" s="41"/>
      <c r="KY187" s="41"/>
      <c r="KZ187" s="41"/>
      <c r="LA187" s="41"/>
      <c r="LB187" s="41"/>
      <c r="LC187" s="41"/>
      <c r="LD187" s="41"/>
      <c r="LE187" s="41"/>
      <c r="LF187" s="41"/>
      <c r="LG187" s="41"/>
      <c r="LH187" s="41"/>
      <c r="LI187" s="41"/>
      <c r="LJ187" s="41"/>
      <c r="LK187" s="41"/>
      <c r="LL187" s="41"/>
      <c r="LM187" s="41"/>
      <c r="LN187" s="41"/>
      <c r="LO187" s="41"/>
      <c r="LP187" s="41"/>
      <c r="LQ187" s="41"/>
      <c r="LR187" s="41"/>
      <c r="LS187" s="41"/>
      <c r="LT187" s="41"/>
      <c r="LU187" s="41"/>
      <c r="LV187" s="41"/>
      <c r="LW187" s="41"/>
      <c r="LX187" s="41"/>
      <c r="LY187" s="41"/>
      <c r="LZ187" s="41"/>
      <c r="MA187" s="41"/>
      <c r="MB187" s="41"/>
      <c r="MC187" s="41"/>
      <c r="MD187" s="41"/>
      <c r="ME187" s="41"/>
      <c r="MF187" s="41"/>
      <c r="MG187" s="41"/>
      <c r="MH187" s="41"/>
      <c r="MI187" s="41"/>
      <c r="MJ187" s="41"/>
      <c r="MK187" s="41"/>
      <c r="ML187" s="41"/>
      <c r="MM187" s="41"/>
      <c r="MN187" s="41"/>
      <c r="MO187" s="41"/>
      <c r="MP187" s="41"/>
      <c r="MQ187" s="41"/>
      <c r="MR187" s="41"/>
      <c r="MS187" s="41"/>
      <c r="MT187" s="41"/>
      <c r="MU187" s="41"/>
      <c r="MV187" s="41"/>
      <c r="MW187" s="41"/>
      <c r="MX187" s="41"/>
      <c r="MY187" s="41"/>
      <c r="MZ187" s="41"/>
    </row>
    <row r="188" spans="1:364" s="55" customFormat="1" ht="15">
      <c r="A188" s="29" t="s">
        <v>394</v>
      </c>
      <c r="B188" s="42">
        <v>98307</v>
      </c>
      <c r="C188" s="43" t="s">
        <v>395</v>
      </c>
      <c r="D188" s="53">
        <v>23</v>
      </c>
      <c r="E188" s="21" t="s">
        <v>39</v>
      </c>
      <c r="F188" s="46">
        <v>47.31</v>
      </c>
      <c r="G188" s="33">
        <f t="shared" si="12"/>
        <v>60.419601</v>
      </c>
      <c r="H188" s="33">
        <f t="shared" si="13"/>
        <v>1389.650823</v>
      </c>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c r="CC188" s="41"/>
      <c r="CD188" s="41"/>
      <c r="CE188" s="41"/>
      <c r="CF188" s="41"/>
      <c r="CG188" s="41"/>
      <c r="CH188" s="41"/>
      <c r="CI188" s="41"/>
      <c r="CJ188" s="41"/>
      <c r="CK188" s="41"/>
      <c r="CL188" s="41"/>
      <c r="CM188" s="41"/>
      <c r="CN188" s="41"/>
      <c r="CO188" s="41"/>
      <c r="CP188" s="41"/>
      <c r="CQ188" s="41"/>
      <c r="CR188" s="41"/>
      <c r="CS188" s="41"/>
      <c r="CT188" s="41"/>
      <c r="CU188" s="41"/>
      <c r="CV188" s="41"/>
      <c r="CW188" s="41"/>
      <c r="CX188" s="41"/>
      <c r="CY188" s="41"/>
      <c r="CZ188" s="41"/>
      <c r="DA188" s="41"/>
      <c r="DB188" s="41"/>
      <c r="DC188" s="41"/>
      <c r="DD188" s="41"/>
      <c r="DE188" s="41"/>
      <c r="DF188" s="41"/>
      <c r="DG188" s="41"/>
      <c r="DH188" s="41"/>
      <c r="DI188" s="41"/>
      <c r="DJ188" s="41"/>
      <c r="DK188" s="41"/>
      <c r="DL188" s="41"/>
      <c r="DM188" s="41"/>
      <c r="DN188" s="41"/>
      <c r="DO188" s="41"/>
      <c r="DP188" s="41"/>
      <c r="DQ188" s="41"/>
      <c r="DR188" s="41"/>
      <c r="DS188" s="41"/>
      <c r="DT188" s="41"/>
      <c r="DU188" s="41"/>
      <c r="DV188" s="41"/>
      <c r="DW188" s="41"/>
      <c r="DX188" s="41"/>
      <c r="DY188" s="41"/>
      <c r="DZ188" s="41"/>
      <c r="EA188" s="41"/>
      <c r="EB188" s="41"/>
      <c r="EC188" s="41"/>
      <c r="ED188" s="41"/>
      <c r="EE188" s="41"/>
      <c r="EF188" s="41"/>
      <c r="EG188" s="41"/>
      <c r="EH188" s="41"/>
      <c r="EI188" s="41"/>
      <c r="EJ188" s="41"/>
      <c r="EK188" s="41"/>
      <c r="EL188" s="41"/>
      <c r="EM188" s="41"/>
      <c r="EN188" s="41"/>
      <c r="EO188" s="41"/>
      <c r="EP188" s="41"/>
      <c r="EQ188" s="41"/>
      <c r="ER188" s="41"/>
      <c r="ES188" s="41"/>
      <c r="ET188" s="41"/>
      <c r="EU188" s="41"/>
      <c r="EV188" s="41"/>
      <c r="EW188" s="41"/>
      <c r="EX188" s="41"/>
      <c r="EY188" s="41"/>
      <c r="EZ188" s="41"/>
      <c r="FA188" s="41"/>
      <c r="FB188" s="41"/>
      <c r="FC188" s="41"/>
      <c r="FD188" s="41"/>
      <c r="FE188" s="41"/>
      <c r="FF188" s="41"/>
      <c r="FG188" s="41"/>
      <c r="FH188" s="41"/>
      <c r="FI188" s="41"/>
      <c r="FJ188" s="41"/>
      <c r="FK188" s="41"/>
      <c r="FL188" s="41"/>
      <c r="FM188" s="41"/>
      <c r="FN188" s="41"/>
      <c r="FO188" s="41"/>
      <c r="FP188" s="41"/>
      <c r="FQ188" s="41"/>
      <c r="FR188" s="41"/>
      <c r="FS188" s="41"/>
      <c r="FT188" s="41"/>
      <c r="FU188" s="41"/>
      <c r="FV188" s="41"/>
      <c r="FW188" s="41"/>
      <c r="FX188" s="41"/>
      <c r="FY188" s="41"/>
      <c r="FZ188" s="41"/>
      <c r="GA188" s="41"/>
      <c r="GB188" s="41"/>
      <c r="GC188" s="41"/>
      <c r="GD188" s="41"/>
      <c r="GE188" s="41"/>
      <c r="GF188" s="41"/>
      <c r="GG188" s="41"/>
      <c r="GH188" s="41"/>
      <c r="GI188" s="41"/>
      <c r="GJ188" s="41"/>
      <c r="GK188" s="41"/>
      <c r="GL188" s="41"/>
      <c r="GM188" s="41"/>
      <c r="GN188" s="41"/>
      <c r="GO188" s="41"/>
      <c r="GP188" s="41"/>
      <c r="GQ188" s="41"/>
      <c r="GR188" s="41"/>
      <c r="GS188" s="41"/>
      <c r="GT188" s="41"/>
      <c r="GU188" s="41"/>
      <c r="GV188" s="41"/>
      <c r="GW188" s="41"/>
      <c r="GX188" s="41"/>
      <c r="GY188" s="41"/>
      <c r="GZ188" s="41"/>
      <c r="HA188" s="41"/>
      <c r="HB188" s="41"/>
      <c r="HC188" s="41"/>
      <c r="HD188" s="41"/>
      <c r="HE188" s="41"/>
      <c r="HF188" s="41"/>
      <c r="HG188" s="41"/>
      <c r="HH188" s="41"/>
      <c r="HI188" s="41"/>
      <c r="HJ188" s="41"/>
      <c r="HK188" s="41"/>
      <c r="HL188" s="41"/>
      <c r="HM188" s="41"/>
      <c r="HN188" s="41"/>
      <c r="HO188" s="41"/>
      <c r="HP188" s="41"/>
      <c r="HQ188" s="41"/>
      <c r="HR188" s="41"/>
      <c r="HS188" s="41"/>
      <c r="HT188" s="41"/>
      <c r="HU188" s="41"/>
      <c r="HV188" s="41"/>
      <c r="HW188" s="41"/>
      <c r="HX188" s="41"/>
      <c r="HY188" s="41"/>
      <c r="HZ188" s="41"/>
      <c r="IA188" s="41"/>
      <c r="IB188" s="41"/>
      <c r="IC188" s="41"/>
      <c r="ID188" s="41"/>
      <c r="IE188" s="41"/>
      <c r="IF188" s="41"/>
      <c r="IG188" s="41"/>
      <c r="IH188" s="41"/>
      <c r="II188" s="41"/>
      <c r="IJ188" s="41"/>
      <c r="IK188" s="41"/>
      <c r="IL188" s="41"/>
      <c r="IM188" s="41"/>
      <c r="IN188" s="41"/>
      <c r="IO188" s="41"/>
      <c r="IP188" s="41"/>
      <c r="IQ188" s="41"/>
      <c r="IR188" s="41"/>
      <c r="IS188" s="41"/>
      <c r="IT188" s="41"/>
      <c r="IU188" s="41"/>
      <c r="IV188" s="41"/>
      <c r="IW188" s="41"/>
      <c r="IX188" s="41"/>
      <c r="IY188" s="41"/>
      <c r="IZ188" s="41"/>
      <c r="JA188" s="41"/>
      <c r="JB188" s="41"/>
      <c r="JC188" s="41"/>
      <c r="JD188" s="41"/>
      <c r="JE188" s="41"/>
      <c r="JF188" s="41"/>
      <c r="JG188" s="41"/>
      <c r="JH188" s="41"/>
      <c r="JI188" s="41"/>
      <c r="JJ188" s="41"/>
      <c r="JK188" s="41"/>
      <c r="JL188" s="41"/>
      <c r="JM188" s="41"/>
      <c r="JN188" s="41"/>
      <c r="JO188" s="41"/>
      <c r="JP188" s="41"/>
      <c r="JQ188" s="41"/>
      <c r="JR188" s="41"/>
      <c r="JS188" s="41"/>
      <c r="JT188" s="41"/>
      <c r="JU188" s="41"/>
      <c r="JV188" s="41"/>
      <c r="JW188" s="41"/>
      <c r="JX188" s="41"/>
      <c r="JY188" s="41"/>
      <c r="JZ188" s="41"/>
      <c r="KA188" s="41"/>
      <c r="KB188" s="41"/>
      <c r="KC188" s="41"/>
      <c r="KD188" s="41"/>
      <c r="KE188" s="41"/>
      <c r="KF188" s="41"/>
      <c r="KG188" s="41"/>
      <c r="KH188" s="41"/>
      <c r="KI188" s="41"/>
      <c r="KJ188" s="41"/>
      <c r="KK188" s="41"/>
      <c r="KL188" s="41"/>
      <c r="KM188" s="41"/>
      <c r="KN188" s="41"/>
      <c r="KO188" s="41"/>
      <c r="KP188" s="41"/>
      <c r="KQ188" s="41"/>
      <c r="KR188" s="41"/>
      <c r="KS188" s="41"/>
      <c r="KT188" s="41"/>
      <c r="KU188" s="41"/>
      <c r="KV188" s="41"/>
      <c r="KW188" s="41"/>
      <c r="KX188" s="41"/>
      <c r="KY188" s="41"/>
      <c r="KZ188" s="41"/>
      <c r="LA188" s="41"/>
      <c r="LB188" s="41"/>
      <c r="LC188" s="41"/>
      <c r="LD188" s="41"/>
      <c r="LE188" s="41"/>
      <c r="LF188" s="41"/>
      <c r="LG188" s="41"/>
      <c r="LH188" s="41"/>
      <c r="LI188" s="41"/>
      <c r="LJ188" s="41"/>
      <c r="LK188" s="41"/>
      <c r="LL188" s="41"/>
      <c r="LM188" s="41"/>
      <c r="LN188" s="41"/>
      <c r="LO188" s="41"/>
      <c r="LP188" s="41"/>
      <c r="LQ188" s="41"/>
      <c r="LR188" s="41"/>
      <c r="LS188" s="41"/>
      <c r="LT188" s="41"/>
      <c r="LU188" s="41"/>
      <c r="LV188" s="41"/>
      <c r="LW188" s="41"/>
      <c r="LX188" s="41"/>
      <c r="LY188" s="41"/>
      <c r="LZ188" s="41"/>
      <c r="MA188" s="41"/>
      <c r="MB188" s="41"/>
      <c r="MC188" s="41"/>
      <c r="MD188" s="41"/>
      <c r="ME188" s="41"/>
      <c r="MF188" s="41"/>
      <c r="MG188" s="41"/>
      <c r="MH188" s="41"/>
      <c r="MI188" s="41"/>
      <c r="MJ188" s="41"/>
      <c r="MK188" s="41"/>
      <c r="ML188" s="41"/>
      <c r="MM188" s="41"/>
      <c r="MN188" s="41"/>
      <c r="MO188" s="41"/>
      <c r="MP188" s="41"/>
      <c r="MQ188" s="41"/>
      <c r="MR188" s="41"/>
      <c r="MS188" s="41"/>
      <c r="MT188" s="41"/>
      <c r="MU188" s="41"/>
      <c r="MV188" s="41"/>
      <c r="MW188" s="41"/>
      <c r="MX188" s="41"/>
      <c r="MY188" s="41"/>
      <c r="MZ188" s="41"/>
    </row>
    <row r="189" spans="1:364" s="55" customFormat="1" ht="37.5">
      <c r="A189" s="29" t="s">
        <v>396</v>
      </c>
      <c r="B189" s="42">
        <v>98297</v>
      </c>
      <c r="C189" s="43" t="s">
        <v>397</v>
      </c>
      <c r="D189" s="53">
        <v>530</v>
      </c>
      <c r="E189" s="21" t="s">
        <v>42</v>
      </c>
      <c r="F189" s="46">
        <v>2.79</v>
      </c>
      <c r="G189" s="33">
        <f t="shared" si="12"/>
        <v>3.563109</v>
      </c>
      <c r="H189" s="33">
        <f t="shared" si="13"/>
        <v>1888.44777</v>
      </c>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c r="CC189" s="41"/>
      <c r="CD189" s="41"/>
      <c r="CE189" s="41"/>
      <c r="CF189" s="41"/>
      <c r="CG189" s="41"/>
      <c r="CH189" s="41"/>
      <c r="CI189" s="41"/>
      <c r="CJ189" s="41"/>
      <c r="CK189" s="41"/>
      <c r="CL189" s="41"/>
      <c r="CM189" s="41"/>
      <c r="CN189" s="41"/>
      <c r="CO189" s="41"/>
      <c r="CP189" s="41"/>
      <c r="CQ189" s="41"/>
      <c r="CR189" s="41"/>
      <c r="CS189" s="41"/>
      <c r="CT189" s="41"/>
      <c r="CU189" s="41"/>
      <c r="CV189" s="41"/>
      <c r="CW189" s="41"/>
      <c r="CX189" s="41"/>
      <c r="CY189" s="41"/>
      <c r="CZ189" s="41"/>
      <c r="DA189" s="41"/>
      <c r="DB189" s="41"/>
      <c r="DC189" s="41"/>
      <c r="DD189" s="41"/>
      <c r="DE189" s="41"/>
      <c r="DF189" s="41"/>
      <c r="DG189" s="41"/>
      <c r="DH189" s="41"/>
      <c r="DI189" s="41"/>
      <c r="DJ189" s="41"/>
      <c r="DK189" s="41"/>
      <c r="DL189" s="41"/>
      <c r="DM189" s="41"/>
      <c r="DN189" s="41"/>
      <c r="DO189" s="41"/>
      <c r="DP189" s="41"/>
      <c r="DQ189" s="41"/>
      <c r="DR189" s="41"/>
      <c r="DS189" s="41"/>
      <c r="DT189" s="41"/>
      <c r="DU189" s="41"/>
      <c r="DV189" s="41"/>
      <c r="DW189" s="41"/>
      <c r="DX189" s="41"/>
      <c r="DY189" s="41"/>
      <c r="DZ189" s="41"/>
      <c r="EA189" s="41"/>
      <c r="EB189" s="41"/>
      <c r="EC189" s="41"/>
      <c r="ED189" s="41"/>
      <c r="EE189" s="41"/>
      <c r="EF189" s="41"/>
      <c r="EG189" s="41"/>
      <c r="EH189" s="41"/>
      <c r="EI189" s="41"/>
      <c r="EJ189" s="41"/>
      <c r="EK189" s="41"/>
      <c r="EL189" s="41"/>
      <c r="EM189" s="41"/>
      <c r="EN189" s="41"/>
      <c r="EO189" s="41"/>
      <c r="EP189" s="41"/>
      <c r="EQ189" s="41"/>
      <c r="ER189" s="41"/>
      <c r="ES189" s="41"/>
      <c r="ET189" s="41"/>
      <c r="EU189" s="41"/>
      <c r="EV189" s="41"/>
      <c r="EW189" s="41"/>
      <c r="EX189" s="41"/>
      <c r="EY189" s="41"/>
      <c r="EZ189" s="41"/>
      <c r="FA189" s="41"/>
      <c r="FB189" s="41"/>
      <c r="FC189" s="41"/>
      <c r="FD189" s="41"/>
      <c r="FE189" s="41"/>
      <c r="FF189" s="41"/>
      <c r="FG189" s="41"/>
      <c r="FH189" s="41"/>
      <c r="FI189" s="41"/>
      <c r="FJ189" s="41"/>
      <c r="FK189" s="41"/>
      <c r="FL189" s="41"/>
      <c r="FM189" s="41"/>
      <c r="FN189" s="41"/>
      <c r="FO189" s="41"/>
      <c r="FP189" s="41"/>
      <c r="FQ189" s="41"/>
      <c r="FR189" s="41"/>
      <c r="FS189" s="41"/>
      <c r="FT189" s="41"/>
      <c r="FU189" s="41"/>
      <c r="FV189" s="41"/>
      <c r="FW189" s="41"/>
      <c r="FX189" s="41"/>
      <c r="FY189" s="41"/>
      <c r="FZ189" s="41"/>
      <c r="GA189" s="41"/>
      <c r="GB189" s="41"/>
      <c r="GC189" s="41"/>
      <c r="GD189" s="41"/>
      <c r="GE189" s="41"/>
      <c r="GF189" s="41"/>
      <c r="GG189" s="41"/>
      <c r="GH189" s="41"/>
      <c r="GI189" s="41"/>
      <c r="GJ189" s="41"/>
      <c r="GK189" s="41"/>
      <c r="GL189" s="41"/>
      <c r="GM189" s="41"/>
      <c r="GN189" s="41"/>
      <c r="GO189" s="41"/>
      <c r="GP189" s="41"/>
      <c r="GQ189" s="41"/>
      <c r="GR189" s="41"/>
      <c r="GS189" s="41"/>
      <c r="GT189" s="41"/>
      <c r="GU189" s="41"/>
      <c r="GV189" s="41"/>
      <c r="GW189" s="41"/>
      <c r="GX189" s="41"/>
      <c r="GY189" s="41"/>
      <c r="GZ189" s="41"/>
      <c r="HA189" s="41"/>
      <c r="HB189" s="41"/>
      <c r="HC189" s="41"/>
      <c r="HD189" s="41"/>
      <c r="HE189" s="41"/>
      <c r="HF189" s="41"/>
      <c r="HG189" s="41"/>
      <c r="HH189" s="41"/>
      <c r="HI189" s="41"/>
      <c r="HJ189" s="41"/>
      <c r="HK189" s="41"/>
      <c r="HL189" s="41"/>
      <c r="HM189" s="41"/>
      <c r="HN189" s="41"/>
      <c r="HO189" s="41"/>
      <c r="HP189" s="41"/>
      <c r="HQ189" s="41"/>
      <c r="HR189" s="41"/>
      <c r="HS189" s="41"/>
      <c r="HT189" s="41"/>
      <c r="HU189" s="41"/>
      <c r="HV189" s="41"/>
      <c r="HW189" s="41"/>
      <c r="HX189" s="41"/>
      <c r="HY189" s="41"/>
      <c r="HZ189" s="41"/>
      <c r="IA189" s="41"/>
      <c r="IB189" s="41"/>
      <c r="IC189" s="41"/>
      <c r="ID189" s="41"/>
      <c r="IE189" s="41"/>
      <c r="IF189" s="41"/>
      <c r="IG189" s="41"/>
      <c r="IH189" s="41"/>
      <c r="II189" s="41"/>
      <c r="IJ189" s="41"/>
      <c r="IK189" s="41"/>
      <c r="IL189" s="41"/>
      <c r="IM189" s="41"/>
      <c r="IN189" s="41"/>
      <c r="IO189" s="41"/>
      <c r="IP189" s="41"/>
      <c r="IQ189" s="41"/>
      <c r="IR189" s="41"/>
      <c r="IS189" s="41"/>
      <c r="IT189" s="41"/>
      <c r="IU189" s="41"/>
      <c r="IV189" s="41"/>
      <c r="IW189" s="41"/>
      <c r="IX189" s="41"/>
      <c r="IY189" s="41"/>
      <c r="IZ189" s="41"/>
      <c r="JA189" s="41"/>
      <c r="JB189" s="41"/>
      <c r="JC189" s="41"/>
      <c r="JD189" s="41"/>
      <c r="JE189" s="41"/>
      <c r="JF189" s="41"/>
      <c r="JG189" s="41"/>
      <c r="JH189" s="41"/>
      <c r="JI189" s="41"/>
      <c r="JJ189" s="41"/>
      <c r="JK189" s="41"/>
      <c r="JL189" s="41"/>
      <c r="JM189" s="41"/>
      <c r="JN189" s="41"/>
      <c r="JO189" s="41"/>
      <c r="JP189" s="41"/>
      <c r="JQ189" s="41"/>
      <c r="JR189" s="41"/>
      <c r="JS189" s="41"/>
      <c r="JT189" s="41"/>
      <c r="JU189" s="41"/>
      <c r="JV189" s="41"/>
      <c r="JW189" s="41"/>
      <c r="JX189" s="41"/>
      <c r="JY189" s="41"/>
      <c r="JZ189" s="41"/>
      <c r="KA189" s="41"/>
      <c r="KB189" s="41"/>
      <c r="KC189" s="41"/>
      <c r="KD189" s="41"/>
      <c r="KE189" s="41"/>
      <c r="KF189" s="41"/>
      <c r="KG189" s="41"/>
      <c r="KH189" s="41"/>
      <c r="KI189" s="41"/>
      <c r="KJ189" s="41"/>
      <c r="KK189" s="41"/>
      <c r="KL189" s="41"/>
      <c r="KM189" s="41"/>
      <c r="KN189" s="41"/>
      <c r="KO189" s="41"/>
      <c r="KP189" s="41"/>
      <c r="KQ189" s="41"/>
      <c r="KR189" s="41"/>
      <c r="KS189" s="41"/>
      <c r="KT189" s="41"/>
      <c r="KU189" s="41"/>
      <c r="KV189" s="41"/>
      <c r="KW189" s="41"/>
      <c r="KX189" s="41"/>
      <c r="KY189" s="41"/>
      <c r="KZ189" s="41"/>
      <c r="LA189" s="41"/>
      <c r="LB189" s="41"/>
      <c r="LC189" s="41"/>
      <c r="LD189" s="41"/>
      <c r="LE189" s="41"/>
      <c r="LF189" s="41"/>
      <c r="LG189" s="41"/>
      <c r="LH189" s="41"/>
      <c r="LI189" s="41"/>
      <c r="LJ189" s="41"/>
      <c r="LK189" s="41"/>
      <c r="LL189" s="41"/>
      <c r="LM189" s="41"/>
      <c r="LN189" s="41"/>
      <c r="LO189" s="41"/>
      <c r="LP189" s="41"/>
      <c r="LQ189" s="41"/>
      <c r="LR189" s="41"/>
      <c r="LS189" s="41"/>
      <c r="LT189" s="41"/>
      <c r="LU189" s="41"/>
      <c r="LV189" s="41"/>
      <c r="LW189" s="41"/>
      <c r="LX189" s="41"/>
      <c r="LY189" s="41"/>
      <c r="LZ189" s="41"/>
      <c r="MA189" s="41"/>
      <c r="MB189" s="41"/>
      <c r="MC189" s="41"/>
      <c r="MD189" s="41"/>
      <c r="ME189" s="41"/>
      <c r="MF189" s="41"/>
      <c r="MG189" s="41"/>
      <c r="MH189" s="41"/>
      <c r="MI189" s="41"/>
      <c r="MJ189" s="41"/>
      <c r="MK189" s="41"/>
      <c r="ML189" s="41"/>
      <c r="MM189" s="41"/>
      <c r="MN189" s="41"/>
      <c r="MO189" s="41"/>
      <c r="MP189" s="41"/>
      <c r="MQ189" s="41"/>
      <c r="MR189" s="41"/>
      <c r="MS189" s="41"/>
      <c r="MT189" s="41"/>
      <c r="MU189" s="41"/>
      <c r="MV189" s="41"/>
      <c r="MW189" s="41"/>
      <c r="MX189" s="41"/>
      <c r="MY189" s="41"/>
      <c r="MZ189" s="41"/>
    </row>
    <row r="190" spans="1:8" s="27" customFormat="1" ht="15">
      <c r="A190" s="34"/>
      <c r="B190" s="34"/>
      <c r="C190" s="34" t="s">
        <v>18</v>
      </c>
      <c r="D190" s="51"/>
      <c r="E190" s="34"/>
      <c r="F190" s="52"/>
      <c r="G190" s="35"/>
      <c r="H190" s="35">
        <f>SUM(H99:H189)</f>
        <v>156752.3088846</v>
      </c>
    </row>
    <row r="191" spans="1:8" s="38" customFormat="1" ht="15">
      <c r="A191" s="37">
        <v>11</v>
      </c>
      <c r="B191" s="37"/>
      <c r="C191" s="48" t="s">
        <v>398</v>
      </c>
      <c r="D191" s="48"/>
      <c r="E191" s="48"/>
      <c r="F191" s="48"/>
      <c r="G191" s="48"/>
      <c r="H191" s="48"/>
    </row>
    <row r="192" spans="1:8" s="41" customFormat="1" ht="15">
      <c r="A192" s="42"/>
      <c r="B192" s="42"/>
      <c r="C192" s="48" t="s">
        <v>399</v>
      </c>
      <c r="D192" s="47"/>
      <c r="E192" s="42"/>
      <c r="F192" s="46"/>
      <c r="G192" s="56"/>
      <c r="H192" s="56"/>
    </row>
    <row r="193" spans="1:8" s="41" customFormat="1" ht="15">
      <c r="A193" s="42" t="s">
        <v>400</v>
      </c>
      <c r="B193" s="42" t="s">
        <v>401</v>
      </c>
      <c r="C193" s="43" t="s">
        <v>402</v>
      </c>
      <c r="D193" s="47">
        <f>(10.65+11.18+9.42+42.6+31.11+12.41+15.34+16.26+5.15+16.46+8.1+4.25+12.7+27.8+19.21+7.6+8.2+5.9+11.76+8+15.26)*2.8-(4.7+3.5)*1.5+(1.2+1.5)*1.5+1.65*1.5+1.6*1.5-1.6*2.1*3-0.8*2.1*17-0.7*2.1*3-0.8*1.5*15</f>
        <v>773.7829999999998</v>
      </c>
      <c r="E193" s="42" t="s">
        <v>17</v>
      </c>
      <c r="F193" s="46">
        <v>2.33</v>
      </c>
      <c r="G193" s="33">
        <f aca="true" t="shared" si="14" ref="G193:G198">F193*1.2771</f>
        <v>2.975643</v>
      </c>
      <c r="H193" s="33">
        <f aca="true" t="shared" si="15" ref="H193:H198">D193*G193</f>
        <v>2302.5019674689993</v>
      </c>
    </row>
    <row r="194" spans="1:8" s="41" customFormat="1" ht="15">
      <c r="A194" s="42" t="s">
        <v>403</v>
      </c>
      <c r="B194" s="42" t="s">
        <v>404</v>
      </c>
      <c r="C194" s="43" t="s">
        <v>405</v>
      </c>
      <c r="D194" s="47">
        <f>D193</f>
        <v>773.7829999999998</v>
      </c>
      <c r="E194" s="42" t="s">
        <v>17</v>
      </c>
      <c r="F194" s="46">
        <v>11.86</v>
      </c>
      <c r="G194" s="33">
        <f t="shared" si="14"/>
        <v>15.146405999999999</v>
      </c>
      <c r="H194" s="33">
        <f t="shared" si="15"/>
        <v>11720.031473897996</v>
      </c>
    </row>
    <row r="195" spans="1:8" s="41" customFormat="1" ht="15">
      <c r="A195" s="42" t="s">
        <v>406</v>
      </c>
      <c r="B195" s="42" t="s">
        <v>407</v>
      </c>
      <c r="C195" s="43" t="s">
        <v>408</v>
      </c>
      <c r="D195" s="47">
        <f>2.95+1.6+216.77+D26</f>
        <v>241.32000000000002</v>
      </c>
      <c r="E195" s="42" t="s">
        <v>17</v>
      </c>
      <c r="F195" s="46">
        <v>2.73</v>
      </c>
      <c r="G195" s="33">
        <f t="shared" si="14"/>
        <v>3.4864829999999998</v>
      </c>
      <c r="H195" s="33">
        <f t="shared" si="15"/>
        <v>841.35807756</v>
      </c>
    </row>
    <row r="196" spans="1:8" s="41" customFormat="1" ht="15">
      <c r="A196" s="42" t="s">
        <v>409</v>
      </c>
      <c r="B196" s="42" t="s">
        <v>410</v>
      </c>
      <c r="C196" s="43" t="s">
        <v>411</v>
      </c>
      <c r="D196" s="47">
        <f>D195</f>
        <v>241.32000000000002</v>
      </c>
      <c r="E196" s="42" t="s">
        <v>17</v>
      </c>
      <c r="F196" s="46">
        <v>20.16</v>
      </c>
      <c r="G196" s="33">
        <f t="shared" si="14"/>
        <v>25.746336</v>
      </c>
      <c r="H196" s="33">
        <f t="shared" si="15"/>
        <v>6213.10580352</v>
      </c>
    </row>
    <row r="197" spans="1:8" s="41" customFormat="1" ht="15">
      <c r="A197" s="42" t="s">
        <v>412</v>
      </c>
      <c r="B197" s="42" t="s">
        <v>413</v>
      </c>
      <c r="C197" s="43" t="s">
        <v>414</v>
      </c>
      <c r="D197" s="47">
        <f>D194</f>
        <v>773.7829999999998</v>
      </c>
      <c r="E197" s="42" t="s">
        <v>17</v>
      </c>
      <c r="F197" s="46">
        <v>14.79</v>
      </c>
      <c r="G197" s="33">
        <f t="shared" si="14"/>
        <v>18.888308999999996</v>
      </c>
      <c r="H197" s="33">
        <f t="shared" si="15"/>
        <v>14615.452402946992</v>
      </c>
    </row>
    <row r="198" spans="1:8" s="41" customFormat="1" ht="15">
      <c r="A198" s="42" t="s">
        <v>415</v>
      </c>
      <c r="B198" s="42" t="s">
        <v>416</v>
      </c>
      <c r="C198" s="43" t="s">
        <v>417</v>
      </c>
      <c r="D198" s="47">
        <f>D195</f>
        <v>241.32000000000002</v>
      </c>
      <c r="E198" s="42" t="s">
        <v>17</v>
      </c>
      <c r="F198" s="46">
        <v>16.53</v>
      </c>
      <c r="G198" s="33">
        <f t="shared" si="14"/>
        <v>21.110463</v>
      </c>
      <c r="H198" s="33">
        <f t="shared" si="15"/>
        <v>5094.37693116</v>
      </c>
    </row>
    <row r="199" spans="1:8" s="27" customFormat="1" ht="15">
      <c r="A199" s="34"/>
      <c r="B199" s="34"/>
      <c r="C199" s="34" t="s">
        <v>18</v>
      </c>
      <c r="D199" s="51"/>
      <c r="E199" s="34"/>
      <c r="F199" s="52"/>
      <c r="G199" s="35"/>
      <c r="H199" s="35">
        <f>SUM(H192:H198)</f>
        <v>40786.82665655398</v>
      </c>
    </row>
    <row r="200" spans="1:8" s="38" customFormat="1" ht="15">
      <c r="A200" s="37">
        <v>12</v>
      </c>
      <c r="B200" s="37"/>
      <c r="C200" s="48" t="s">
        <v>418</v>
      </c>
      <c r="D200" s="48"/>
      <c r="E200" s="48"/>
      <c r="F200" s="48"/>
      <c r="G200" s="48"/>
      <c r="H200" s="48"/>
    </row>
    <row r="201" spans="1:8" s="41" customFormat="1" ht="15">
      <c r="A201" s="42" t="s">
        <v>419</v>
      </c>
      <c r="B201" s="42" t="s">
        <v>420</v>
      </c>
      <c r="C201" s="43" t="s">
        <v>421</v>
      </c>
      <c r="D201" s="47">
        <f>D45+D49</f>
        <v>323.32000000000005</v>
      </c>
      <c r="E201" s="42" t="s">
        <v>17</v>
      </c>
      <c r="F201" s="46">
        <v>1.82</v>
      </c>
      <c r="G201" s="33">
        <f aca="true" t="shared" si="16" ref="G201:G206">F201*1.2771</f>
        <v>2.324322</v>
      </c>
      <c r="H201" s="33">
        <f aca="true" t="shared" si="17" ref="H201:H206">D201*G201</f>
        <v>751.4997890400001</v>
      </c>
    </row>
    <row r="202" spans="1:8" s="41" customFormat="1" ht="15">
      <c r="A202" s="42" t="s">
        <v>422</v>
      </c>
      <c r="B202" s="42">
        <v>95546</v>
      </c>
      <c r="C202" s="43" t="s">
        <v>423</v>
      </c>
      <c r="D202" s="47">
        <v>3</v>
      </c>
      <c r="E202" s="42" t="s">
        <v>39</v>
      </c>
      <c r="F202" s="46">
        <v>212.4</v>
      </c>
      <c r="G202" s="33">
        <f t="shared" si="16"/>
        <v>271.25604</v>
      </c>
      <c r="H202" s="33">
        <f t="shared" si="17"/>
        <v>813.76812</v>
      </c>
    </row>
    <row r="203" spans="1:8" s="41" customFormat="1" ht="15">
      <c r="A203" s="42" t="s">
        <v>424</v>
      </c>
      <c r="B203" s="42">
        <v>100849</v>
      </c>
      <c r="C203" s="43" t="s">
        <v>425</v>
      </c>
      <c r="D203" s="47">
        <v>3</v>
      </c>
      <c r="E203" s="42" t="s">
        <v>39</v>
      </c>
      <c r="F203" s="46">
        <v>49.84</v>
      </c>
      <c r="G203" s="33">
        <f t="shared" si="16"/>
        <v>63.650664</v>
      </c>
      <c r="H203" s="33">
        <f t="shared" si="17"/>
        <v>190.951992</v>
      </c>
    </row>
    <row r="204" spans="1:8" s="41" customFormat="1" ht="15">
      <c r="A204" s="42" t="s">
        <v>426</v>
      </c>
      <c r="B204" s="42" t="s">
        <v>427</v>
      </c>
      <c r="C204" s="43" t="s">
        <v>428</v>
      </c>
      <c r="D204" s="47">
        <v>1</v>
      </c>
      <c r="E204" s="42" t="s">
        <v>39</v>
      </c>
      <c r="F204" s="46">
        <v>367.93</v>
      </c>
      <c r="G204" s="33">
        <f t="shared" si="16"/>
        <v>469.883403</v>
      </c>
      <c r="H204" s="33">
        <f t="shared" si="17"/>
        <v>469.883403</v>
      </c>
    </row>
    <row r="205" spans="1:8" s="41" customFormat="1" ht="37.5">
      <c r="A205" s="42" t="s">
        <v>429</v>
      </c>
      <c r="B205" s="42">
        <v>100864</v>
      </c>
      <c r="C205" s="43" t="s">
        <v>430</v>
      </c>
      <c r="D205" s="47">
        <v>1</v>
      </c>
      <c r="E205" s="42" t="s">
        <v>39</v>
      </c>
      <c r="F205" s="46">
        <v>803.14</v>
      </c>
      <c r="G205" s="33">
        <f t="shared" si="16"/>
        <v>1025.6900939999998</v>
      </c>
      <c r="H205" s="33">
        <f t="shared" si="17"/>
        <v>1025.6900939999998</v>
      </c>
    </row>
    <row r="206" spans="1:8" s="41" customFormat="1" ht="37.5">
      <c r="A206" s="42" t="s">
        <v>431</v>
      </c>
      <c r="B206" s="42">
        <v>100869</v>
      </c>
      <c r="C206" s="43" t="s">
        <v>432</v>
      </c>
      <c r="D206" s="47">
        <v>1</v>
      </c>
      <c r="E206" s="42" t="s">
        <v>39</v>
      </c>
      <c r="F206" s="46">
        <v>422.55</v>
      </c>
      <c r="G206" s="33">
        <f t="shared" si="16"/>
        <v>539.638605</v>
      </c>
      <c r="H206" s="33">
        <f t="shared" si="17"/>
        <v>539.638605</v>
      </c>
    </row>
    <row r="207" spans="1:8" s="27" customFormat="1" ht="15">
      <c r="A207" s="34"/>
      <c r="B207" s="34"/>
      <c r="C207" s="34" t="s">
        <v>18</v>
      </c>
      <c r="D207" s="51"/>
      <c r="E207" s="34"/>
      <c r="F207" s="52"/>
      <c r="G207" s="35"/>
      <c r="H207" s="35">
        <f>SUM(H201:H206)</f>
        <v>3791.4320030400004</v>
      </c>
    </row>
    <row r="208" spans="1:8" s="20" customFormat="1" ht="15">
      <c r="A208" s="37">
        <v>13</v>
      </c>
      <c r="B208" s="57"/>
      <c r="C208" s="28" t="s">
        <v>433</v>
      </c>
      <c r="D208" s="47"/>
      <c r="E208" s="42"/>
      <c r="F208" s="46"/>
      <c r="G208" s="33"/>
      <c r="H208" s="33"/>
    </row>
    <row r="209" spans="1:8" s="20" customFormat="1" ht="37.5">
      <c r="A209" s="58" t="s">
        <v>434</v>
      </c>
      <c r="B209" s="42" t="s">
        <v>435</v>
      </c>
      <c r="C209" s="36" t="s">
        <v>436</v>
      </c>
      <c r="D209" s="31">
        <v>10</v>
      </c>
      <c r="E209" s="29" t="s">
        <v>42</v>
      </c>
      <c r="F209" s="32">
        <v>149.79</v>
      </c>
      <c r="G209" s="33">
        <f aca="true" t="shared" si="18" ref="G209:G215">F209*1.2771</f>
        <v>191.29680899999997</v>
      </c>
      <c r="H209" s="33">
        <f aca="true" t="shared" si="19" ref="H209:H215">D209*G209</f>
        <v>1912.9680899999996</v>
      </c>
    </row>
    <row r="210" spans="1:8" s="20" customFormat="1" ht="37.5">
      <c r="A210" s="58" t="s">
        <v>437</v>
      </c>
      <c r="B210" s="42" t="s">
        <v>438</v>
      </c>
      <c r="C210" s="36" t="s">
        <v>439</v>
      </c>
      <c r="D210" s="31">
        <v>2</v>
      </c>
      <c r="E210" s="29" t="s">
        <v>39</v>
      </c>
      <c r="F210" s="32">
        <v>29.18</v>
      </c>
      <c r="G210" s="33">
        <f t="shared" si="18"/>
        <v>37.265778</v>
      </c>
      <c r="H210" s="33">
        <f t="shared" si="19"/>
        <v>74.531556</v>
      </c>
    </row>
    <row r="211" spans="1:8" s="20" customFormat="1" ht="37.5">
      <c r="A211" s="58" t="s">
        <v>440</v>
      </c>
      <c r="B211" s="42" t="s">
        <v>441</v>
      </c>
      <c r="C211" s="36" t="s">
        <v>442</v>
      </c>
      <c r="D211" s="31">
        <v>3</v>
      </c>
      <c r="E211" s="29" t="s">
        <v>39</v>
      </c>
      <c r="F211" s="32">
        <v>24.54</v>
      </c>
      <c r="G211" s="33">
        <f t="shared" si="18"/>
        <v>31.340033999999996</v>
      </c>
      <c r="H211" s="33">
        <f t="shared" si="19"/>
        <v>94.02010199999998</v>
      </c>
    </row>
    <row r="212" spans="1:8" s="20" customFormat="1" ht="15">
      <c r="A212" s="58" t="s">
        <v>443</v>
      </c>
      <c r="B212" s="42" t="s">
        <v>444</v>
      </c>
      <c r="C212" s="36" t="s">
        <v>445</v>
      </c>
      <c r="D212" s="31">
        <v>3</v>
      </c>
      <c r="E212" s="29" t="s">
        <v>39</v>
      </c>
      <c r="F212" s="32">
        <v>203.13</v>
      </c>
      <c r="G212" s="33">
        <f t="shared" si="18"/>
        <v>259.41732299999995</v>
      </c>
      <c r="H212" s="33">
        <f t="shared" si="19"/>
        <v>778.2519689999999</v>
      </c>
    </row>
    <row r="213" spans="1:8" s="20" customFormat="1" ht="15">
      <c r="A213" s="58" t="s">
        <v>446</v>
      </c>
      <c r="B213" s="42">
        <v>90447</v>
      </c>
      <c r="C213" s="36" t="s">
        <v>447</v>
      </c>
      <c r="D213" s="31">
        <v>10</v>
      </c>
      <c r="E213" s="29" t="s">
        <v>42</v>
      </c>
      <c r="F213" s="32">
        <v>5.61</v>
      </c>
      <c r="G213" s="33">
        <f t="shared" si="18"/>
        <v>7.164531</v>
      </c>
      <c r="H213" s="33">
        <f t="shared" si="19"/>
        <v>71.64531</v>
      </c>
    </row>
    <row r="214" spans="1:8" s="20" customFormat="1" ht="37.5">
      <c r="A214" s="58" t="s">
        <v>448</v>
      </c>
      <c r="B214" s="42">
        <v>90466</v>
      </c>
      <c r="C214" s="36" t="s">
        <v>156</v>
      </c>
      <c r="D214" s="31">
        <v>10</v>
      </c>
      <c r="E214" s="29" t="s">
        <v>42</v>
      </c>
      <c r="F214" s="32">
        <v>11.61</v>
      </c>
      <c r="G214" s="33">
        <f t="shared" si="18"/>
        <v>14.827130999999998</v>
      </c>
      <c r="H214" s="33">
        <f t="shared" si="19"/>
        <v>148.27130999999997</v>
      </c>
    </row>
    <row r="215" spans="1:8" s="20" customFormat="1" ht="37.5">
      <c r="A215" s="58" t="s">
        <v>449</v>
      </c>
      <c r="B215" s="42">
        <v>95250</v>
      </c>
      <c r="C215" s="36" t="s">
        <v>450</v>
      </c>
      <c r="D215" s="31">
        <v>1</v>
      </c>
      <c r="E215" s="29" t="s">
        <v>39</v>
      </c>
      <c r="F215" s="32">
        <v>97.01</v>
      </c>
      <c r="G215" s="33">
        <f t="shared" si="18"/>
        <v>123.891471</v>
      </c>
      <c r="H215" s="33">
        <f t="shared" si="19"/>
        <v>123.891471</v>
      </c>
    </row>
    <row r="216" spans="1:8" s="20" customFormat="1" ht="15">
      <c r="A216" s="34"/>
      <c r="B216" s="34"/>
      <c r="C216" s="34" t="s">
        <v>18</v>
      </c>
      <c r="D216" s="59"/>
      <c r="E216" s="60"/>
      <c r="F216" s="61"/>
      <c r="G216" s="62"/>
      <c r="H216" s="35">
        <f>SUM(H209:H215)</f>
        <v>3203.5798079999995</v>
      </c>
    </row>
    <row r="217" spans="1:8" s="20" customFormat="1" ht="15">
      <c r="A217" s="37">
        <v>14</v>
      </c>
      <c r="B217" s="57"/>
      <c r="C217" s="28" t="s">
        <v>451</v>
      </c>
      <c r="D217" s="47"/>
      <c r="E217" s="42"/>
      <c r="F217" s="46"/>
      <c r="G217" s="33"/>
      <c r="H217" s="33"/>
    </row>
    <row r="218" spans="1:8" s="20" customFormat="1" ht="15">
      <c r="A218" s="58" t="s">
        <v>452</v>
      </c>
      <c r="B218" s="42" t="s">
        <v>453</v>
      </c>
      <c r="C218" s="36" t="s">
        <v>451</v>
      </c>
      <c r="D218" s="31"/>
      <c r="E218" s="29" t="s">
        <v>454</v>
      </c>
      <c r="F218" s="32">
        <f>(231406.7+244822.7+253012.53)/3</f>
        <v>243080.64333333334</v>
      </c>
      <c r="G218" s="33">
        <f>F218</f>
        <v>243080.64333333334</v>
      </c>
      <c r="H218" s="33">
        <f>D218*G218</f>
        <v>0</v>
      </c>
    </row>
    <row r="219" spans="1:8" s="27" customFormat="1" ht="15">
      <c r="A219" s="34" t="s">
        <v>18</v>
      </c>
      <c r="B219" s="34"/>
      <c r="C219" s="63"/>
      <c r="D219" s="51"/>
      <c r="E219" s="34"/>
      <c r="F219" s="52"/>
      <c r="G219" s="35"/>
      <c r="H219" s="35">
        <f>SUM(H217:H218)</f>
        <v>0</v>
      </c>
    </row>
    <row r="220" spans="1:8" s="27" customFormat="1" ht="15">
      <c r="A220" s="23">
        <v>15</v>
      </c>
      <c r="B220" s="23"/>
      <c r="C220" s="28" t="s">
        <v>455</v>
      </c>
      <c r="D220" s="28"/>
      <c r="E220" s="28"/>
      <c r="F220" s="28"/>
      <c r="G220" s="28"/>
      <c r="H220" s="28"/>
    </row>
    <row r="221" spans="1:8" s="20" customFormat="1" ht="15">
      <c r="A221" s="58" t="s">
        <v>456</v>
      </c>
      <c r="B221" s="42" t="s">
        <v>457</v>
      </c>
      <c r="C221" s="36" t="s">
        <v>458</v>
      </c>
      <c r="D221" s="31">
        <f>4*22*4</f>
        <v>352</v>
      </c>
      <c r="E221" s="29" t="s">
        <v>459</v>
      </c>
      <c r="F221" s="32">
        <v>100.84</v>
      </c>
      <c r="G221" s="33">
        <f>F221*1.2771</f>
        <v>128.782764</v>
      </c>
      <c r="H221" s="33">
        <f>D221*G221</f>
        <v>45331.53292799999</v>
      </c>
    </row>
    <row r="222" spans="1:8" s="20" customFormat="1" ht="15">
      <c r="A222" s="58" t="s">
        <v>460</v>
      </c>
      <c r="B222" s="42" t="s">
        <v>461</v>
      </c>
      <c r="C222" s="36" t="s">
        <v>462</v>
      </c>
      <c r="D222" s="31">
        <f>4*22*8</f>
        <v>704</v>
      </c>
      <c r="E222" s="29" t="s">
        <v>459</v>
      </c>
      <c r="F222" s="32">
        <v>48.22</v>
      </c>
      <c r="G222" s="33">
        <f>F222*1.2771</f>
        <v>61.58176199999999</v>
      </c>
      <c r="H222" s="33">
        <f>D222*G222</f>
        <v>43353.560448</v>
      </c>
    </row>
    <row r="223" spans="1:8" s="27" customFormat="1" ht="15">
      <c r="A223" s="34" t="s">
        <v>18</v>
      </c>
      <c r="B223" s="34"/>
      <c r="C223" s="63"/>
      <c r="D223" s="51"/>
      <c r="E223" s="34"/>
      <c r="F223" s="52"/>
      <c r="G223" s="35"/>
      <c r="H223" s="35">
        <f>SUM(H221:H222)</f>
        <v>88685.09337599999</v>
      </c>
    </row>
    <row r="224" spans="1:8" ht="15">
      <c r="A224" s="7" t="s">
        <v>463</v>
      </c>
      <c r="B224" s="7"/>
      <c r="C224" s="7"/>
      <c r="D224" s="59"/>
      <c r="E224" s="60"/>
      <c r="F224" s="61"/>
      <c r="G224" s="62"/>
      <c r="H224" s="64">
        <f>+H14+H29+H33+H39+H43+H50+H59+H64+H70+H97+H190+H199+H207+H216+H219+H223</f>
        <v>674198.3959846541</v>
      </c>
    </row>
    <row r="225" ht="15">
      <c r="H225" s="65" t="s">
        <v>464</v>
      </c>
    </row>
    <row r="229" spans="2:8" ht="15">
      <c r="B229" s="66" t="s">
        <v>465</v>
      </c>
      <c r="C229" s="66"/>
      <c r="D229" s="66"/>
      <c r="F229" s="6" t="s">
        <v>465</v>
      </c>
      <c r="G229" s="6"/>
      <c r="H229" s="6"/>
    </row>
    <row r="230" spans="2:8" ht="15">
      <c r="B230" s="66" t="s">
        <v>466</v>
      </c>
      <c r="C230" s="66"/>
      <c r="D230" s="66"/>
      <c r="F230" s="6" t="s">
        <v>467</v>
      </c>
      <c r="G230" s="6"/>
      <c r="H230" s="6"/>
    </row>
    <row r="231" spans="2:8" ht="15">
      <c r="B231" s="66" t="s">
        <v>468</v>
      </c>
      <c r="C231" s="66"/>
      <c r="D231" s="66"/>
      <c r="F231" s="6" t="s">
        <v>469</v>
      </c>
      <c r="G231" s="6"/>
      <c r="H231" s="6"/>
    </row>
  </sheetData>
  <mergeCells count="22">
    <mergeCell ref="A224:C224"/>
    <mergeCell ref="F229:H229"/>
    <mergeCell ref="F230:H230"/>
    <mergeCell ref="F231:H231"/>
    <mergeCell ref="A43:G43"/>
    <mergeCell ref="A50:G50"/>
    <mergeCell ref="A59:G59"/>
    <mergeCell ref="A64:G64"/>
    <mergeCell ref="A70:G70"/>
    <mergeCell ref="A10:H10"/>
    <mergeCell ref="A14:G14"/>
    <mergeCell ref="A29:G29"/>
    <mergeCell ref="A33:G33"/>
    <mergeCell ref="A39:G39"/>
    <mergeCell ref="A1:H3"/>
    <mergeCell ref="A4:H5"/>
    <mergeCell ref="A6:A9"/>
    <mergeCell ref="B6:E6"/>
    <mergeCell ref="F6:H9"/>
    <mergeCell ref="B7:E7"/>
    <mergeCell ref="B8:E8"/>
    <mergeCell ref="B9:E9"/>
  </mergeCells>
  <printOptions horizontalCentered="1"/>
  <pageMargins left="0.511805555555555" right="0.511805555555555" top="0.7875" bottom="0.7875" header="0.511805555555555" footer="0.511805555555555"/>
  <pageSetup fitToHeight="10" fitToWidth="1" horizontalDpi="300" verticalDpi="300" orientation="landscape" paperSize="9"/>
  <rowBreaks count="1" manualBreakCount="1">
    <brk id="149" max="16383" man="1"/>
  </rowBreaks>
</worksheet>
</file>

<file path=xl/worksheets/sheet2.xml><?xml version="1.0" encoding="utf-8"?>
<worksheet xmlns="http://schemas.openxmlformats.org/spreadsheetml/2006/main" xmlns:r="http://schemas.openxmlformats.org/officeDocument/2006/relationships">
  <dimension ref="A1:D51"/>
  <sheetViews>
    <sheetView workbookViewId="0" topLeftCell="A4">
      <selection activeCell="F57" sqref="F57"/>
    </sheetView>
  </sheetViews>
  <sheetFormatPr defaultColWidth="9.140625" defaultRowHeight="15"/>
  <cols>
    <col min="1" max="1" width="11.28125" style="0" customWidth="1"/>
    <col min="2" max="2" width="32.57421875" style="0" customWidth="1"/>
    <col min="3" max="3" width="9.28125" style="0" customWidth="1"/>
    <col min="4" max="4" width="16.00390625" style="0" customWidth="1"/>
    <col min="5" max="1025" width="8.7109375" style="0" customWidth="1"/>
  </cols>
  <sheetData>
    <row r="1" spans="1:4" ht="15" customHeight="1">
      <c r="A1" s="5" t="s">
        <v>470</v>
      </c>
      <c r="B1" s="5"/>
      <c r="C1" s="5"/>
      <c r="D1" s="5"/>
    </row>
    <row r="2" spans="1:4" ht="15">
      <c r="A2" s="67"/>
      <c r="B2" s="68"/>
      <c r="C2" s="68"/>
      <c r="D2" s="69"/>
    </row>
    <row r="3" spans="1:4" ht="15">
      <c r="A3" s="70" t="s">
        <v>471</v>
      </c>
      <c r="B3" s="71" t="s">
        <v>472</v>
      </c>
      <c r="C3" s="71" t="s">
        <v>473</v>
      </c>
      <c r="D3" s="72" t="s">
        <v>474</v>
      </c>
    </row>
    <row r="4" spans="1:4" ht="15">
      <c r="A4" s="67"/>
      <c r="B4" s="68"/>
      <c r="C4" s="73"/>
      <c r="D4" s="74"/>
    </row>
    <row r="5" spans="1:4" ht="15">
      <c r="A5" s="75" t="s">
        <v>475</v>
      </c>
      <c r="B5" s="68"/>
      <c r="C5" s="68"/>
      <c r="D5" s="76"/>
    </row>
    <row r="6" spans="1:4" ht="15">
      <c r="A6" s="67"/>
      <c r="B6" s="68"/>
      <c r="C6" s="68"/>
      <c r="D6" s="69"/>
    </row>
    <row r="7" spans="1:4" ht="15">
      <c r="A7" s="67" t="s">
        <v>476</v>
      </c>
      <c r="B7" s="68" t="s">
        <v>477</v>
      </c>
      <c r="C7" s="77">
        <v>0</v>
      </c>
      <c r="D7" s="78">
        <v>0</v>
      </c>
    </row>
    <row r="8" spans="1:4" ht="15">
      <c r="A8" s="67" t="s">
        <v>478</v>
      </c>
      <c r="B8" s="68" t="s">
        <v>479</v>
      </c>
      <c r="C8" s="77">
        <v>0.015</v>
      </c>
      <c r="D8" s="78">
        <v>0.015</v>
      </c>
    </row>
    <row r="9" spans="1:4" ht="15">
      <c r="A9" s="67" t="s">
        <v>480</v>
      </c>
      <c r="B9" s="68" t="s">
        <v>481</v>
      </c>
      <c r="C9" s="77">
        <v>0.01</v>
      </c>
      <c r="D9" s="78">
        <v>0.01</v>
      </c>
    </row>
    <row r="10" spans="1:4" ht="15">
      <c r="A10" s="67" t="s">
        <v>482</v>
      </c>
      <c r="B10" s="68" t="s">
        <v>483</v>
      </c>
      <c r="C10" s="77">
        <v>0.002</v>
      </c>
      <c r="D10" s="78">
        <v>0.002</v>
      </c>
    </row>
    <row r="11" spans="1:4" ht="15">
      <c r="A11" s="67" t="s">
        <v>484</v>
      </c>
      <c r="B11" s="68" t="s">
        <v>485</v>
      </c>
      <c r="C11" s="77">
        <v>0.006</v>
      </c>
      <c r="D11" s="78">
        <v>0.006</v>
      </c>
    </row>
    <row r="12" spans="1:4" ht="15">
      <c r="A12" s="67" t="s">
        <v>486</v>
      </c>
      <c r="B12" s="68" t="s">
        <v>487</v>
      </c>
      <c r="C12" s="77">
        <v>0.025</v>
      </c>
      <c r="D12" s="78">
        <v>0.025</v>
      </c>
    </row>
    <row r="13" spans="1:4" ht="15">
      <c r="A13" s="67" t="s">
        <v>488</v>
      </c>
      <c r="B13" s="68" t="s">
        <v>489</v>
      </c>
      <c r="C13" s="77">
        <v>0.03</v>
      </c>
      <c r="D13" s="78">
        <v>0.03</v>
      </c>
    </row>
    <row r="14" spans="1:4" ht="15">
      <c r="A14" s="67" t="s">
        <v>490</v>
      </c>
      <c r="B14" s="68" t="s">
        <v>491</v>
      </c>
      <c r="C14" s="77">
        <v>0.08</v>
      </c>
      <c r="D14" s="78">
        <v>0.08</v>
      </c>
    </row>
    <row r="15" spans="1:4" ht="15">
      <c r="A15" s="67" t="s">
        <v>492</v>
      </c>
      <c r="B15" s="68" t="s">
        <v>493</v>
      </c>
      <c r="C15" s="77">
        <v>0</v>
      </c>
      <c r="D15" s="78">
        <v>0</v>
      </c>
    </row>
    <row r="16" spans="1:4" ht="15">
      <c r="A16" s="67"/>
      <c r="B16" s="79" t="s">
        <v>494</v>
      </c>
      <c r="C16" s="80">
        <f>SUM(C7:C15)</f>
        <v>0.16799999999999998</v>
      </c>
      <c r="D16" s="81">
        <f>SUM(D7:D15)</f>
        <v>0.16799999999999998</v>
      </c>
    </row>
    <row r="17" spans="1:4" ht="15">
      <c r="A17" s="67"/>
      <c r="B17" s="68"/>
      <c r="C17" s="77"/>
      <c r="D17" s="78"/>
    </row>
    <row r="18" spans="1:4" ht="15">
      <c r="A18" s="67"/>
      <c r="B18" s="68"/>
      <c r="C18" s="77"/>
      <c r="D18" s="78"/>
    </row>
    <row r="19" spans="1:4" ht="15">
      <c r="A19" s="75" t="s">
        <v>495</v>
      </c>
      <c r="B19" s="68"/>
      <c r="C19" s="77"/>
      <c r="D19" s="78"/>
    </row>
    <row r="20" spans="1:4" ht="15">
      <c r="A20" s="67"/>
      <c r="B20" s="68"/>
      <c r="C20" s="77"/>
      <c r="D20" s="78"/>
    </row>
    <row r="21" spans="1:4" ht="15">
      <c r="A21" s="67" t="s">
        <v>496</v>
      </c>
      <c r="B21" s="68" t="s">
        <v>497</v>
      </c>
      <c r="C21" s="77">
        <v>0.1793</v>
      </c>
      <c r="D21" s="78" t="s">
        <v>498</v>
      </c>
    </row>
    <row r="22" spans="1:4" ht="15">
      <c r="A22" s="67" t="s">
        <v>499</v>
      </c>
      <c r="B22" s="68" t="s">
        <v>500</v>
      </c>
      <c r="C22" s="77">
        <v>0.0424</v>
      </c>
      <c r="D22" s="78" t="s">
        <v>498</v>
      </c>
    </row>
    <row r="23" spans="1:4" ht="15">
      <c r="A23" s="67" t="s">
        <v>501</v>
      </c>
      <c r="B23" s="68" t="s">
        <v>502</v>
      </c>
      <c r="C23" s="77">
        <v>0.0087</v>
      </c>
      <c r="D23" s="78">
        <v>0.0067</v>
      </c>
    </row>
    <row r="24" spans="1:4" ht="15">
      <c r="A24" s="67" t="s">
        <v>503</v>
      </c>
      <c r="B24" s="68" t="s">
        <v>504</v>
      </c>
      <c r="C24" s="77">
        <v>0.1078</v>
      </c>
      <c r="D24" s="78">
        <v>0.0833</v>
      </c>
    </row>
    <row r="25" spans="1:4" ht="15">
      <c r="A25" s="67" t="s">
        <v>505</v>
      </c>
      <c r="B25" s="68" t="s">
        <v>506</v>
      </c>
      <c r="C25" s="77">
        <v>0.0007</v>
      </c>
      <c r="D25" s="78">
        <v>0.0006</v>
      </c>
    </row>
    <row r="26" spans="1:4" ht="15">
      <c r="A26" s="67" t="s">
        <v>507</v>
      </c>
      <c r="B26" s="68" t="s">
        <v>508</v>
      </c>
      <c r="C26" s="77">
        <v>0.0072</v>
      </c>
      <c r="D26" s="78">
        <v>0.0056</v>
      </c>
    </row>
    <row r="27" spans="1:4" ht="15">
      <c r="A27" s="67" t="s">
        <v>509</v>
      </c>
      <c r="B27" s="68" t="s">
        <v>510</v>
      </c>
      <c r="C27" s="77">
        <v>0.0153</v>
      </c>
      <c r="D27" s="78" t="s">
        <v>498</v>
      </c>
    </row>
    <row r="28" spans="1:4" ht="15">
      <c r="A28" s="67" t="s">
        <v>511</v>
      </c>
      <c r="B28" s="68" t="s">
        <v>512</v>
      </c>
      <c r="C28" s="77">
        <v>0.0011</v>
      </c>
      <c r="D28" s="78">
        <v>0.0008</v>
      </c>
    </row>
    <row r="29" spans="1:4" ht="15">
      <c r="A29" s="67" t="s">
        <v>513</v>
      </c>
      <c r="B29" s="68" t="s">
        <v>514</v>
      </c>
      <c r="C29" s="77">
        <v>0.0774</v>
      </c>
      <c r="D29" s="78">
        <v>0.0598</v>
      </c>
    </row>
    <row r="30" spans="1:4" ht="15">
      <c r="A30" s="67" t="s">
        <v>515</v>
      </c>
      <c r="B30" s="68" t="s">
        <v>516</v>
      </c>
      <c r="C30" s="77">
        <v>0.0003</v>
      </c>
      <c r="D30" s="78">
        <v>0.0003</v>
      </c>
    </row>
    <row r="31" spans="1:4" ht="15">
      <c r="A31" s="67"/>
      <c r="B31" s="79" t="s">
        <v>517</v>
      </c>
      <c r="C31" s="80">
        <f>SUM(C21:C30)</f>
        <v>0.4402</v>
      </c>
      <c r="D31" s="81">
        <f>SUM(D21:D30)</f>
        <v>0.1571</v>
      </c>
    </row>
    <row r="32" spans="1:4" ht="15">
      <c r="A32" s="67"/>
      <c r="B32" s="68"/>
      <c r="C32" s="77"/>
      <c r="D32" s="78"/>
    </row>
    <row r="33" spans="1:4" ht="15">
      <c r="A33" s="67"/>
      <c r="B33" s="68"/>
      <c r="C33" s="77"/>
      <c r="D33" s="78"/>
    </row>
    <row r="34" spans="1:4" ht="15">
      <c r="A34" s="75" t="s">
        <v>518</v>
      </c>
      <c r="B34" s="68"/>
      <c r="C34" s="77"/>
      <c r="D34" s="78"/>
    </row>
    <row r="35" spans="1:4" ht="15">
      <c r="A35" s="67"/>
      <c r="B35" s="68"/>
      <c r="C35" s="77"/>
      <c r="D35" s="78"/>
    </row>
    <row r="36" spans="1:4" ht="15">
      <c r="A36" s="67" t="s">
        <v>519</v>
      </c>
      <c r="B36" s="68" t="s">
        <v>520</v>
      </c>
      <c r="C36" s="77">
        <v>0.0449</v>
      </c>
      <c r="D36" s="78">
        <v>0.0347</v>
      </c>
    </row>
    <row r="37" spans="1:4" ht="15">
      <c r="A37" s="67" t="s">
        <v>521</v>
      </c>
      <c r="B37" s="68" t="s">
        <v>522</v>
      </c>
      <c r="C37" s="77">
        <v>0.0011</v>
      </c>
      <c r="D37" s="78">
        <v>0.0008</v>
      </c>
    </row>
    <row r="38" spans="1:4" ht="15">
      <c r="A38" s="67" t="s">
        <v>523</v>
      </c>
      <c r="B38" s="68" t="s">
        <v>524</v>
      </c>
      <c r="C38" s="77">
        <v>0.0505</v>
      </c>
      <c r="D38" s="78">
        <v>0.039</v>
      </c>
    </row>
    <row r="39" spans="1:4" ht="15">
      <c r="A39" s="67" t="s">
        <v>525</v>
      </c>
      <c r="B39" s="68" t="s">
        <v>526</v>
      </c>
      <c r="C39" s="77">
        <v>0.0365</v>
      </c>
      <c r="D39" s="78">
        <v>0.0282</v>
      </c>
    </row>
    <row r="40" spans="1:4" ht="15">
      <c r="A40" s="67" t="s">
        <v>527</v>
      </c>
      <c r="B40" s="68" t="s">
        <v>528</v>
      </c>
      <c r="C40" s="77">
        <v>0.0038</v>
      </c>
      <c r="D40" s="78">
        <v>0.0029</v>
      </c>
    </row>
    <row r="41" spans="1:4" ht="15">
      <c r="A41" s="67"/>
      <c r="B41" s="79" t="s">
        <v>517</v>
      </c>
      <c r="C41" s="80">
        <f>SUM(C36:C40)</f>
        <v>0.1368</v>
      </c>
      <c r="D41" s="81">
        <f>SUM(D36:D40)</f>
        <v>0.10560000000000001</v>
      </c>
    </row>
    <row r="42" spans="1:4" ht="15">
      <c r="A42" s="67"/>
      <c r="B42" s="68"/>
      <c r="C42" s="77"/>
      <c r="D42" s="78"/>
    </row>
    <row r="43" spans="1:4" ht="15">
      <c r="A43" s="67"/>
      <c r="B43" s="68"/>
      <c r="C43" s="77"/>
      <c r="D43" s="78"/>
    </row>
    <row r="44" spans="1:4" ht="15">
      <c r="A44" s="75" t="s">
        <v>529</v>
      </c>
      <c r="B44" s="68"/>
      <c r="C44" s="77"/>
      <c r="D44" s="78"/>
    </row>
    <row r="45" spans="1:4" ht="15">
      <c r="A45" s="67"/>
      <c r="B45" s="68"/>
      <c r="C45" s="77"/>
      <c r="D45" s="78"/>
    </row>
    <row r="46" spans="1:4" ht="26.25">
      <c r="A46" s="67" t="s">
        <v>530</v>
      </c>
      <c r="B46" s="82" t="s">
        <v>531</v>
      </c>
      <c r="C46" s="77">
        <v>0.074</v>
      </c>
      <c r="D46" s="78">
        <v>0.0264</v>
      </c>
    </row>
    <row r="47" spans="1:4" ht="51.75">
      <c r="A47" s="83" t="s">
        <v>532</v>
      </c>
      <c r="B47" s="82" t="s">
        <v>533</v>
      </c>
      <c r="C47" s="84">
        <v>0.0038</v>
      </c>
      <c r="D47" s="85">
        <v>0.0029</v>
      </c>
    </row>
    <row r="48" spans="1:4" ht="15">
      <c r="A48" s="67"/>
      <c r="B48" s="79" t="s">
        <v>517</v>
      </c>
      <c r="C48" s="86">
        <f>SUM(C46:C47)</f>
        <v>0.0778</v>
      </c>
      <c r="D48" s="87">
        <f>SUM(D46:D47)</f>
        <v>0.0293</v>
      </c>
    </row>
    <row r="49" spans="1:4" ht="15">
      <c r="A49" s="67"/>
      <c r="B49" s="68"/>
      <c r="C49" s="86"/>
      <c r="D49" s="87"/>
    </row>
    <row r="50" spans="1:4" ht="15">
      <c r="A50" s="67"/>
      <c r="B50" s="68"/>
      <c r="C50" s="73"/>
      <c r="D50" s="74"/>
    </row>
    <row r="51" spans="1:4" ht="15">
      <c r="A51" s="4" t="s">
        <v>534</v>
      </c>
      <c r="B51" s="4"/>
      <c r="C51" s="88">
        <f>C48+C41+C31+C16</f>
        <v>0.8228</v>
      </c>
      <c r="D51" s="89">
        <f>D48+D41+D31+D16</f>
        <v>0.46</v>
      </c>
    </row>
  </sheetData>
  <mergeCells count="2">
    <mergeCell ref="A1:D1"/>
    <mergeCell ref="A51:B51"/>
  </mergeCells>
  <printOptions/>
  <pageMargins left="0.511805555555555" right="0.511805555555555" top="0.7875" bottom="0.7875" header="0.511805555555555" footer="0.51180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M118"/>
  <sheetViews>
    <sheetView zoomScale="80" zoomScaleNormal="80" workbookViewId="0" topLeftCell="A83">
      <selection activeCell="B127" sqref="B127"/>
    </sheetView>
  </sheetViews>
  <sheetFormatPr defaultColWidth="9.140625" defaultRowHeight="15"/>
  <cols>
    <col min="1" max="1" width="17.7109375" style="0" customWidth="1"/>
    <col min="2" max="2" width="107.140625" style="0" customWidth="1"/>
    <col min="3" max="3" width="3.28125" style="0" customWidth="1"/>
    <col min="4" max="5" width="10.140625" style="0" customWidth="1"/>
    <col min="6" max="6" width="12.421875" style="0" customWidth="1"/>
    <col min="7" max="7" width="7.8515625" style="0" customWidth="1"/>
    <col min="8" max="8" width="43.28125" style="0" customWidth="1"/>
    <col min="9" max="9" width="3.140625" style="0" customWidth="1"/>
    <col min="10" max="10" width="10.140625" style="0" customWidth="1"/>
    <col min="11" max="13" width="11.28125" style="0" customWidth="1"/>
    <col min="14" max="1025" width="8.7109375" style="0" customWidth="1"/>
  </cols>
  <sheetData>
    <row r="2" spans="1:13" ht="15">
      <c r="A2" s="90" t="s">
        <v>65</v>
      </c>
      <c r="B2" s="90" t="s">
        <v>66</v>
      </c>
      <c r="C2" s="90" t="s">
        <v>17</v>
      </c>
      <c r="D2" s="90" t="s">
        <v>535</v>
      </c>
      <c r="E2" s="91">
        <v>143.918091</v>
      </c>
      <c r="F2" s="90"/>
      <c r="G2" s="90"/>
      <c r="H2" s="90"/>
      <c r="I2" s="90"/>
      <c r="J2" s="90"/>
      <c r="K2" s="90"/>
      <c r="L2" s="92"/>
      <c r="M2" s="92"/>
    </row>
    <row r="3" spans="1:13" ht="15">
      <c r="A3" s="90" t="s">
        <v>65</v>
      </c>
      <c r="B3" s="90" t="s">
        <v>66</v>
      </c>
      <c r="C3" s="90" t="s">
        <v>17</v>
      </c>
      <c r="D3" s="90" t="s">
        <v>535</v>
      </c>
      <c r="E3" s="91">
        <v>143.918091</v>
      </c>
      <c r="F3" s="90" t="s">
        <v>536</v>
      </c>
      <c r="G3" s="90" t="s">
        <v>537</v>
      </c>
      <c r="H3" s="90" t="s">
        <v>538</v>
      </c>
      <c r="I3" s="90" t="s">
        <v>539</v>
      </c>
      <c r="J3" s="90" t="s">
        <v>535</v>
      </c>
      <c r="K3" s="90">
        <v>0.029</v>
      </c>
      <c r="L3" s="92">
        <v>47.55</v>
      </c>
      <c r="M3" s="93">
        <f aca="true" t="shared" si="0" ref="M3:M13">K3*L3</f>
        <v>1.37895</v>
      </c>
    </row>
    <row r="4" spans="1:13" ht="15">
      <c r="A4" s="90" t="s">
        <v>65</v>
      </c>
      <c r="B4" s="90" t="s">
        <v>66</v>
      </c>
      <c r="C4" s="90" t="s">
        <v>17</v>
      </c>
      <c r="D4" s="90" t="s">
        <v>535</v>
      </c>
      <c r="E4" s="91">
        <v>143.918091</v>
      </c>
      <c r="F4" s="90" t="s">
        <v>536</v>
      </c>
      <c r="G4" s="90">
        <v>39417</v>
      </c>
      <c r="H4" s="90" t="s">
        <v>540</v>
      </c>
      <c r="I4" s="90" t="s">
        <v>541</v>
      </c>
      <c r="J4" s="90" t="s">
        <v>542</v>
      </c>
      <c r="K4" s="90">
        <v>2.106</v>
      </c>
      <c r="L4" s="92">
        <v>30.23</v>
      </c>
      <c r="M4" s="93">
        <f t="shared" si="0"/>
        <v>63.664379999999994</v>
      </c>
    </row>
    <row r="5" spans="1:13" ht="15">
      <c r="A5" s="90" t="s">
        <v>65</v>
      </c>
      <c r="B5" s="90" t="s">
        <v>66</v>
      </c>
      <c r="C5" s="90" t="s">
        <v>17</v>
      </c>
      <c r="D5" s="90" t="s">
        <v>535</v>
      </c>
      <c r="E5" s="91">
        <v>143.918091</v>
      </c>
      <c r="F5" s="90" t="s">
        <v>536</v>
      </c>
      <c r="G5" s="90" t="s">
        <v>543</v>
      </c>
      <c r="H5" s="90" t="s">
        <v>544</v>
      </c>
      <c r="I5" s="90" t="s">
        <v>42</v>
      </c>
      <c r="J5" s="90" t="s">
        <v>542</v>
      </c>
      <c r="K5" s="90">
        <v>0.9093</v>
      </c>
      <c r="L5" s="92">
        <v>12.37</v>
      </c>
      <c r="M5" s="93">
        <f t="shared" si="0"/>
        <v>11.248040999999999</v>
      </c>
    </row>
    <row r="6" spans="1:13" ht="15">
      <c r="A6" s="90" t="s">
        <v>65</v>
      </c>
      <c r="B6" s="90" t="s">
        <v>66</v>
      </c>
      <c r="C6" s="90" t="s">
        <v>17</v>
      </c>
      <c r="D6" s="90" t="s">
        <v>535</v>
      </c>
      <c r="E6" s="91">
        <v>143.918091</v>
      </c>
      <c r="F6" s="90" t="s">
        <v>536</v>
      </c>
      <c r="G6" s="90" t="s">
        <v>545</v>
      </c>
      <c r="H6" s="90" t="s">
        <v>546</v>
      </c>
      <c r="I6" s="90" t="s">
        <v>42</v>
      </c>
      <c r="J6" s="90" t="s">
        <v>547</v>
      </c>
      <c r="K6" s="90">
        <v>2.8999</v>
      </c>
      <c r="L6" s="92">
        <v>14.03</v>
      </c>
      <c r="M6" s="93">
        <f t="shared" si="0"/>
        <v>40.685597</v>
      </c>
    </row>
    <row r="7" spans="1:13" ht="15">
      <c r="A7" s="90" t="s">
        <v>65</v>
      </c>
      <c r="B7" s="90" t="s">
        <v>66</v>
      </c>
      <c r="C7" s="90" t="s">
        <v>17</v>
      </c>
      <c r="D7" s="90" t="s">
        <v>535</v>
      </c>
      <c r="E7" s="91">
        <v>143.918091</v>
      </c>
      <c r="F7" s="90" t="s">
        <v>536</v>
      </c>
      <c r="G7" s="90" t="s">
        <v>548</v>
      </c>
      <c r="H7" s="90" t="s">
        <v>549</v>
      </c>
      <c r="I7" s="90" t="s">
        <v>42</v>
      </c>
      <c r="J7" s="90" t="s">
        <v>542</v>
      </c>
      <c r="K7" s="90">
        <v>2.5027</v>
      </c>
      <c r="L7" s="92">
        <v>0.36</v>
      </c>
      <c r="M7" s="93">
        <f t="shared" si="0"/>
        <v>0.9009719999999999</v>
      </c>
    </row>
    <row r="8" spans="1:13" ht="15">
      <c r="A8" s="90" t="s">
        <v>65</v>
      </c>
      <c r="B8" s="90" t="s">
        <v>66</v>
      </c>
      <c r="C8" s="90" t="s">
        <v>17</v>
      </c>
      <c r="D8" s="90" t="s">
        <v>535</v>
      </c>
      <c r="E8" s="91">
        <v>143.918091</v>
      </c>
      <c r="F8" s="90" t="s">
        <v>536</v>
      </c>
      <c r="G8" s="90" t="s">
        <v>550</v>
      </c>
      <c r="H8" s="90" t="s">
        <v>551</v>
      </c>
      <c r="I8" s="90" t="s">
        <v>42</v>
      </c>
      <c r="J8" s="90" t="s">
        <v>542</v>
      </c>
      <c r="K8" s="90">
        <v>0.7925</v>
      </c>
      <c r="L8" s="92">
        <v>3.17</v>
      </c>
      <c r="M8" s="93">
        <f t="shared" si="0"/>
        <v>2.512225</v>
      </c>
    </row>
    <row r="9" spans="1:13" ht="15">
      <c r="A9" s="90" t="s">
        <v>65</v>
      </c>
      <c r="B9" s="90" t="s">
        <v>66</v>
      </c>
      <c r="C9" s="90" t="s">
        <v>17</v>
      </c>
      <c r="D9" s="90" t="s">
        <v>535</v>
      </c>
      <c r="E9" s="91">
        <v>143.918091</v>
      </c>
      <c r="F9" s="90" t="s">
        <v>536</v>
      </c>
      <c r="G9" s="90" t="s">
        <v>552</v>
      </c>
      <c r="H9" s="90" t="s">
        <v>553</v>
      </c>
      <c r="I9" s="90" t="s">
        <v>62</v>
      </c>
      <c r="J9" s="90" t="s">
        <v>542</v>
      </c>
      <c r="K9" s="90">
        <v>1.0327</v>
      </c>
      <c r="L9" s="92">
        <v>3.97</v>
      </c>
      <c r="M9" s="93">
        <f t="shared" si="0"/>
        <v>4.099819</v>
      </c>
    </row>
    <row r="10" spans="1:13" ht="15">
      <c r="A10" s="90" t="s">
        <v>65</v>
      </c>
      <c r="B10" s="90" t="s">
        <v>66</v>
      </c>
      <c r="C10" s="90" t="s">
        <v>17</v>
      </c>
      <c r="D10" s="90" t="s">
        <v>535</v>
      </c>
      <c r="E10" s="91">
        <v>143.918091</v>
      </c>
      <c r="F10" s="90" t="s">
        <v>536</v>
      </c>
      <c r="G10" s="90" t="s">
        <v>554</v>
      </c>
      <c r="H10" s="90" t="s">
        <v>555</v>
      </c>
      <c r="I10" s="90" t="s">
        <v>39</v>
      </c>
      <c r="J10" s="90" t="s">
        <v>535</v>
      </c>
      <c r="K10" s="90">
        <v>20.0077</v>
      </c>
      <c r="L10" s="92">
        <v>0.12</v>
      </c>
      <c r="M10" s="93">
        <f t="shared" si="0"/>
        <v>2.400924</v>
      </c>
    </row>
    <row r="11" spans="1:13" ht="15">
      <c r="A11" s="90" t="s">
        <v>65</v>
      </c>
      <c r="B11" s="90" t="s">
        <v>66</v>
      </c>
      <c r="C11" s="90" t="s">
        <v>17</v>
      </c>
      <c r="D11" s="90" t="s">
        <v>535</v>
      </c>
      <c r="E11" s="91">
        <v>143.918091</v>
      </c>
      <c r="F11" s="90" t="s">
        <v>536</v>
      </c>
      <c r="G11" s="90" t="s">
        <v>556</v>
      </c>
      <c r="H11" s="90" t="s">
        <v>557</v>
      </c>
      <c r="I11" s="90" t="s">
        <v>39</v>
      </c>
      <c r="J11" s="90" t="s">
        <v>535</v>
      </c>
      <c r="K11" s="90">
        <v>0.9149</v>
      </c>
      <c r="L11" s="92">
        <v>0.27</v>
      </c>
      <c r="M11" s="93">
        <f t="shared" si="0"/>
        <v>0.24702300000000002</v>
      </c>
    </row>
    <row r="12" spans="1:13" ht="15">
      <c r="A12" s="90" t="s">
        <v>65</v>
      </c>
      <c r="B12" s="90" t="s">
        <v>66</v>
      </c>
      <c r="C12" s="90" t="s">
        <v>17</v>
      </c>
      <c r="D12" s="90" t="s">
        <v>535</v>
      </c>
      <c r="E12" s="91">
        <v>143.918091</v>
      </c>
      <c r="F12" s="90" t="s">
        <v>558</v>
      </c>
      <c r="G12" s="90" t="s">
        <v>559</v>
      </c>
      <c r="H12" s="90" t="s">
        <v>560</v>
      </c>
      <c r="I12" s="90" t="s">
        <v>459</v>
      </c>
      <c r="J12" s="90" t="s">
        <v>542</v>
      </c>
      <c r="K12" s="90">
        <v>0.628</v>
      </c>
      <c r="L12" s="92">
        <v>22.01</v>
      </c>
      <c r="M12" s="93">
        <f t="shared" si="0"/>
        <v>13.822280000000001</v>
      </c>
    </row>
    <row r="13" spans="1:13" ht="15">
      <c r="A13" s="90" t="s">
        <v>65</v>
      </c>
      <c r="B13" s="90" t="s">
        <v>66</v>
      </c>
      <c r="C13" s="90" t="s">
        <v>17</v>
      </c>
      <c r="D13" s="90" t="s">
        <v>535</v>
      </c>
      <c r="E13" s="91">
        <v>143.918091</v>
      </c>
      <c r="F13" s="90" t="s">
        <v>558</v>
      </c>
      <c r="G13" s="90" t="s">
        <v>561</v>
      </c>
      <c r="H13" s="90" t="s">
        <v>562</v>
      </c>
      <c r="I13" s="90" t="s">
        <v>459</v>
      </c>
      <c r="J13" s="90" t="s">
        <v>547</v>
      </c>
      <c r="K13" s="90">
        <v>0.157</v>
      </c>
      <c r="L13" s="92">
        <v>18.84</v>
      </c>
      <c r="M13" s="93">
        <f t="shared" si="0"/>
        <v>2.95788</v>
      </c>
    </row>
    <row r="14" ht="15">
      <c r="M14" s="93">
        <f>SUM(M3:M13)</f>
        <v>143.91809099999998</v>
      </c>
    </row>
    <row r="15" ht="15">
      <c r="M15" s="93"/>
    </row>
    <row r="16" spans="1:13" ht="15">
      <c r="A16" s="90" t="s">
        <v>77</v>
      </c>
      <c r="B16" s="90" t="s">
        <v>78</v>
      </c>
      <c r="C16" s="90" t="s">
        <v>17</v>
      </c>
      <c r="D16" s="90" t="s">
        <v>535</v>
      </c>
      <c r="E16" s="91">
        <v>90.674302</v>
      </c>
      <c r="F16" s="90"/>
      <c r="G16" s="90"/>
      <c r="H16" s="90"/>
      <c r="I16" s="90"/>
      <c r="J16" s="90"/>
      <c r="K16" s="90"/>
      <c r="L16" s="92"/>
      <c r="M16" s="92"/>
    </row>
    <row r="17" spans="1:13" ht="15">
      <c r="A17" s="90" t="s">
        <v>77</v>
      </c>
      <c r="B17" s="90" t="s">
        <v>78</v>
      </c>
      <c r="C17" s="90" t="s">
        <v>17</v>
      </c>
      <c r="D17" s="90" t="s">
        <v>535</v>
      </c>
      <c r="E17" s="91">
        <v>90.674302</v>
      </c>
      <c r="F17" s="90" t="s">
        <v>536</v>
      </c>
      <c r="G17" s="90">
        <v>39417</v>
      </c>
      <c r="H17" s="90" t="s">
        <v>563</v>
      </c>
      <c r="I17" s="90" t="s">
        <v>541</v>
      </c>
      <c r="J17" s="90" t="s">
        <v>542</v>
      </c>
      <c r="K17" s="90">
        <v>1.0665</v>
      </c>
      <c r="L17" s="92">
        <v>30.23</v>
      </c>
      <c r="M17" s="93">
        <f aca="true" t="shared" si="1" ref="M17:M26">K17*L17</f>
        <v>32.240295</v>
      </c>
    </row>
    <row r="18" spans="1:13" ht="15">
      <c r="A18" s="90" t="s">
        <v>77</v>
      </c>
      <c r="B18" s="90" t="s">
        <v>78</v>
      </c>
      <c r="C18" s="90" t="s">
        <v>17</v>
      </c>
      <c r="D18" s="90" t="s">
        <v>535</v>
      </c>
      <c r="E18" s="91">
        <v>90.674302</v>
      </c>
      <c r="F18" s="90" t="s">
        <v>536</v>
      </c>
      <c r="G18" s="90">
        <v>39427</v>
      </c>
      <c r="H18" s="90" t="s">
        <v>564</v>
      </c>
      <c r="I18" s="90" t="s">
        <v>42</v>
      </c>
      <c r="J18" s="90" t="s">
        <v>542</v>
      </c>
      <c r="K18" s="90">
        <v>2.4</v>
      </c>
      <c r="L18" s="92">
        <v>9.1</v>
      </c>
      <c r="M18" s="93">
        <f t="shared" si="1"/>
        <v>21.84</v>
      </c>
    </row>
    <row r="19" spans="1:13" ht="15">
      <c r="A19" s="90" t="s">
        <v>77</v>
      </c>
      <c r="B19" s="90" t="s">
        <v>78</v>
      </c>
      <c r="C19" s="90" t="s">
        <v>17</v>
      </c>
      <c r="D19" s="90" t="s">
        <v>535</v>
      </c>
      <c r="E19" s="91">
        <v>90.674302</v>
      </c>
      <c r="F19" s="90" t="s">
        <v>536</v>
      </c>
      <c r="G19" s="90">
        <v>39430</v>
      </c>
      <c r="H19" s="90" t="s">
        <v>565</v>
      </c>
      <c r="I19" s="90" t="s">
        <v>39</v>
      </c>
      <c r="J19" s="90" t="s">
        <v>542</v>
      </c>
      <c r="K19" s="90">
        <v>2.2122</v>
      </c>
      <c r="L19" s="92">
        <v>3.43</v>
      </c>
      <c r="M19" s="93">
        <f t="shared" si="1"/>
        <v>7.587846000000001</v>
      </c>
    </row>
    <row r="20" spans="1:13" ht="15">
      <c r="A20" s="90" t="s">
        <v>77</v>
      </c>
      <c r="B20" s="90" t="s">
        <v>78</v>
      </c>
      <c r="C20" s="90" t="s">
        <v>17</v>
      </c>
      <c r="D20" s="90" t="s">
        <v>535</v>
      </c>
      <c r="E20" s="91">
        <v>90.674302</v>
      </c>
      <c r="F20" s="90" t="s">
        <v>536</v>
      </c>
      <c r="G20" s="90">
        <v>39432</v>
      </c>
      <c r="H20" s="90" t="s">
        <v>551</v>
      </c>
      <c r="I20" s="90" t="s">
        <v>42</v>
      </c>
      <c r="J20" s="90" t="s">
        <v>542</v>
      </c>
      <c r="K20" s="90">
        <v>1.4404</v>
      </c>
      <c r="L20" s="92">
        <v>3.17</v>
      </c>
      <c r="M20" s="93">
        <f t="shared" si="1"/>
        <v>4.566068</v>
      </c>
    </row>
    <row r="21" spans="1:13" ht="15">
      <c r="A21" s="90" t="s">
        <v>77</v>
      </c>
      <c r="B21" s="90" t="s">
        <v>78</v>
      </c>
      <c r="C21" s="90" t="s">
        <v>17</v>
      </c>
      <c r="D21" s="90" t="s">
        <v>535</v>
      </c>
      <c r="E21" s="91">
        <v>90.674302</v>
      </c>
      <c r="F21" s="90" t="s">
        <v>536</v>
      </c>
      <c r="G21" s="90">
        <v>39434</v>
      </c>
      <c r="H21" s="90" t="s">
        <v>553</v>
      </c>
      <c r="I21" s="90" t="s">
        <v>62</v>
      </c>
      <c r="J21" s="90" t="s">
        <v>542</v>
      </c>
      <c r="K21" s="90">
        <v>0.5202</v>
      </c>
      <c r="L21" s="92">
        <v>3.97</v>
      </c>
      <c r="M21" s="93">
        <f t="shared" si="1"/>
        <v>2.065194</v>
      </c>
    </row>
    <row r="22" spans="1:13" ht="15">
      <c r="A22" s="90" t="s">
        <v>77</v>
      </c>
      <c r="B22" s="90" t="s">
        <v>78</v>
      </c>
      <c r="C22" s="90" t="s">
        <v>17</v>
      </c>
      <c r="D22" s="90" t="s">
        <v>535</v>
      </c>
      <c r="E22" s="91">
        <v>90.674302</v>
      </c>
      <c r="F22" s="90" t="s">
        <v>536</v>
      </c>
      <c r="G22" s="90">
        <v>39435</v>
      </c>
      <c r="H22" s="90" t="s">
        <v>555</v>
      </c>
      <c r="I22" s="90" t="s">
        <v>39</v>
      </c>
      <c r="J22" s="90" t="s">
        <v>535</v>
      </c>
      <c r="K22" s="90">
        <v>7.974</v>
      </c>
      <c r="L22" s="92">
        <v>0.12</v>
      </c>
      <c r="M22" s="93">
        <f t="shared" si="1"/>
        <v>0.95688</v>
      </c>
    </row>
    <row r="23" spans="1:13" ht="15">
      <c r="A23" s="90" t="s">
        <v>77</v>
      </c>
      <c r="B23" s="90" t="s">
        <v>78</v>
      </c>
      <c r="C23" s="90" t="s">
        <v>17</v>
      </c>
      <c r="D23" s="90" t="s">
        <v>535</v>
      </c>
      <c r="E23" s="91">
        <v>90.674302</v>
      </c>
      <c r="F23" s="90" t="s">
        <v>536</v>
      </c>
      <c r="G23" s="90">
        <v>40547</v>
      </c>
      <c r="H23" s="90" t="s">
        <v>566</v>
      </c>
      <c r="I23" s="90" t="s">
        <v>539</v>
      </c>
      <c r="J23" s="90" t="s">
        <v>535</v>
      </c>
      <c r="K23" s="90">
        <v>0.0221</v>
      </c>
      <c r="L23" s="92">
        <v>31.18</v>
      </c>
      <c r="M23" s="93">
        <f t="shared" si="1"/>
        <v>0.6890780000000001</v>
      </c>
    </row>
    <row r="24" spans="1:13" ht="15">
      <c r="A24" s="90" t="s">
        <v>77</v>
      </c>
      <c r="B24" s="90" t="s">
        <v>78</v>
      </c>
      <c r="C24" s="90" t="s">
        <v>17</v>
      </c>
      <c r="D24" s="90" t="s">
        <v>535</v>
      </c>
      <c r="E24" s="91">
        <v>90.674302</v>
      </c>
      <c r="F24" s="90" t="s">
        <v>536</v>
      </c>
      <c r="G24" s="90">
        <v>43131</v>
      </c>
      <c r="H24" s="90" t="s">
        <v>567</v>
      </c>
      <c r="I24" s="90" t="s">
        <v>62</v>
      </c>
      <c r="J24" s="90" t="s">
        <v>542</v>
      </c>
      <c r="K24" s="90">
        <v>0.0711</v>
      </c>
      <c r="L24" s="92">
        <v>29.21</v>
      </c>
      <c r="M24" s="93">
        <f t="shared" si="1"/>
        <v>2.076831</v>
      </c>
    </row>
    <row r="25" spans="1:13" ht="15">
      <c r="A25" s="90" t="s">
        <v>77</v>
      </c>
      <c r="B25" s="90" t="s">
        <v>78</v>
      </c>
      <c r="C25" s="90" t="s">
        <v>17</v>
      </c>
      <c r="D25" s="90" t="s">
        <v>535</v>
      </c>
      <c r="E25" s="91">
        <v>90.674302</v>
      </c>
      <c r="F25" s="90" t="s">
        <v>558</v>
      </c>
      <c r="G25" s="90">
        <v>88278</v>
      </c>
      <c r="H25" s="90" t="s">
        <v>560</v>
      </c>
      <c r="I25" s="90" t="s">
        <v>459</v>
      </c>
      <c r="J25" s="90" t="s">
        <v>542</v>
      </c>
      <c r="K25" s="90">
        <v>0.4566</v>
      </c>
      <c r="L25" s="92">
        <v>22.01</v>
      </c>
      <c r="M25" s="93">
        <f t="shared" si="1"/>
        <v>10.049766</v>
      </c>
    </row>
    <row r="26" spans="1:13" ht="15">
      <c r="A26" s="90" t="s">
        <v>77</v>
      </c>
      <c r="B26" s="90" t="s">
        <v>78</v>
      </c>
      <c r="C26" s="90" t="s">
        <v>17</v>
      </c>
      <c r="D26" s="90" t="s">
        <v>535</v>
      </c>
      <c r="E26" s="91">
        <v>90.674302</v>
      </c>
      <c r="F26" s="90" t="s">
        <v>558</v>
      </c>
      <c r="G26" s="90">
        <v>88316</v>
      </c>
      <c r="H26" s="90" t="s">
        <v>562</v>
      </c>
      <c r="I26" s="90" t="s">
        <v>459</v>
      </c>
      <c r="J26" s="90" t="s">
        <v>547</v>
      </c>
      <c r="K26" s="90">
        <v>0.4566</v>
      </c>
      <c r="L26" s="92">
        <v>18.84</v>
      </c>
      <c r="M26" s="93">
        <f t="shared" si="1"/>
        <v>8.602344</v>
      </c>
    </row>
    <row r="27" ht="15">
      <c r="M27" s="93">
        <f>SUM(M17:M26)</f>
        <v>90.67430200000001</v>
      </c>
    </row>
    <row r="29" spans="1:13" ht="15">
      <c r="A29" s="90" t="s">
        <v>568</v>
      </c>
      <c r="B29" s="90" t="s">
        <v>569</v>
      </c>
      <c r="C29" s="90" t="s">
        <v>42</v>
      </c>
      <c r="D29" s="90" t="s">
        <v>535</v>
      </c>
      <c r="E29" s="94">
        <f aca="true" t="shared" si="2" ref="E29:E35">M$36</f>
        <v>58.60565499999999</v>
      </c>
      <c r="F29" s="90"/>
      <c r="G29" s="90"/>
      <c r="H29" s="90"/>
      <c r="I29" s="90"/>
      <c r="J29" s="90"/>
      <c r="K29" s="90"/>
      <c r="L29" s="92"/>
      <c r="M29" s="92"/>
    </row>
    <row r="30" spans="1:13" ht="15">
      <c r="A30" s="90" t="s">
        <v>568</v>
      </c>
      <c r="B30" s="90" t="s">
        <v>569</v>
      </c>
      <c r="C30" s="90" t="s">
        <v>42</v>
      </c>
      <c r="D30" s="90" t="s">
        <v>535</v>
      </c>
      <c r="E30" s="94">
        <f t="shared" si="2"/>
        <v>58.60565499999999</v>
      </c>
      <c r="F30" s="90" t="s">
        <v>558</v>
      </c>
      <c r="G30" s="90">
        <v>88246</v>
      </c>
      <c r="H30" s="90" t="s">
        <v>570</v>
      </c>
      <c r="I30" s="90" t="s">
        <v>459</v>
      </c>
      <c r="J30" s="90" t="s">
        <v>542</v>
      </c>
      <c r="K30" s="90">
        <v>0.126</v>
      </c>
      <c r="L30" s="92">
        <v>24.57</v>
      </c>
      <c r="M30" s="93">
        <f aca="true" t="shared" si="3" ref="M30:M35">K30*L30</f>
        <v>3.0958200000000002</v>
      </c>
    </row>
    <row r="31" spans="1:13" ht="15">
      <c r="A31" s="90" t="s">
        <v>568</v>
      </c>
      <c r="B31" s="90" t="s">
        <v>569</v>
      </c>
      <c r="C31" s="90" t="s">
        <v>42</v>
      </c>
      <c r="D31" s="90" t="s">
        <v>535</v>
      </c>
      <c r="E31" s="94">
        <f t="shared" si="2"/>
        <v>58.60565499999999</v>
      </c>
      <c r="F31" s="90" t="s">
        <v>558</v>
      </c>
      <c r="G31" s="90">
        <v>88316</v>
      </c>
      <c r="H31" s="90" t="s">
        <v>562</v>
      </c>
      <c r="I31" s="90" t="s">
        <v>459</v>
      </c>
      <c r="J31" s="90" t="s">
        <v>547</v>
      </c>
      <c r="K31" s="90">
        <v>0.126</v>
      </c>
      <c r="L31" s="92">
        <v>17.76</v>
      </c>
      <c r="M31" s="93">
        <f t="shared" si="3"/>
        <v>2.23776</v>
      </c>
    </row>
    <row r="32" spans="1:13" ht="15">
      <c r="A32" s="90" t="s">
        <v>568</v>
      </c>
      <c r="B32" s="90" t="s">
        <v>569</v>
      </c>
      <c r="C32" s="90" t="s">
        <v>42</v>
      </c>
      <c r="D32" s="90" t="s">
        <v>535</v>
      </c>
      <c r="E32" s="94">
        <f t="shared" si="2"/>
        <v>58.60565499999999</v>
      </c>
      <c r="F32" s="90" t="s">
        <v>558</v>
      </c>
      <c r="G32" s="90">
        <v>90724</v>
      </c>
      <c r="H32" s="90" t="s">
        <v>571</v>
      </c>
      <c r="I32" s="90" t="s">
        <v>39</v>
      </c>
      <c r="J32" s="90" t="s">
        <v>542</v>
      </c>
      <c r="K32" s="90">
        <v>0.1</v>
      </c>
      <c r="L32" s="92">
        <v>22.5</v>
      </c>
      <c r="M32" s="93">
        <f t="shared" si="3"/>
        <v>2.25</v>
      </c>
    </row>
    <row r="33" spans="1:13" ht="15">
      <c r="A33" s="90" t="s">
        <v>568</v>
      </c>
      <c r="B33" s="90" t="s">
        <v>569</v>
      </c>
      <c r="C33" s="90" t="s">
        <v>42</v>
      </c>
      <c r="D33" s="90" t="s">
        <v>535</v>
      </c>
      <c r="E33" s="94">
        <f t="shared" si="2"/>
        <v>58.60565499999999</v>
      </c>
      <c r="F33" s="90" t="s">
        <v>558</v>
      </c>
      <c r="G33" s="90">
        <v>93358</v>
      </c>
      <c r="H33" s="90" t="s">
        <v>286</v>
      </c>
      <c r="I33" s="90" t="s">
        <v>22</v>
      </c>
      <c r="J33" s="90" t="s">
        <v>547</v>
      </c>
      <c r="K33" s="90">
        <v>0.4225</v>
      </c>
      <c r="L33" s="92">
        <v>70.25</v>
      </c>
      <c r="M33" s="93">
        <f t="shared" si="3"/>
        <v>29.680625</v>
      </c>
    </row>
    <row r="34" spans="1:13" ht="15">
      <c r="A34" s="90" t="s">
        <v>568</v>
      </c>
      <c r="B34" s="90" t="s">
        <v>569</v>
      </c>
      <c r="C34" s="90" t="s">
        <v>42</v>
      </c>
      <c r="D34" s="90" t="s">
        <v>535</v>
      </c>
      <c r="E34" s="94">
        <f t="shared" si="2"/>
        <v>58.60565499999999</v>
      </c>
      <c r="F34" s="90" t="s">
        <v>558</v>
      </c>
      <c r="G34" s="90">
        <v>93382</v>
      </c>
      <c r="H34" s="90" t="s">
        <v>572</v>
      </c>
      <c r="I34" s="90" t="s">
        <v>22</v>
      </c>
      <c r="J34" s="90" t="s">
        <v>535</v>
      </c>
      <c r="K34" s="90">
        <v>0.3575</v>
      </c>
      <c r="L34" s="92">
        <v>28.08</v>
      </c>
      <c r="M34" s="93">
        <f t="shared" si="3"/>
        <v>10.038599999999999</v>
      </c>
    </row>
    <row r="35" spans="1:13" ht="15">
      <c r="A35" s="90" t="s">
        <v>568</v>
      </c>
      <c r="B35" s="90" t="s">
        <v>569</v>
      </c>
      <c r="C35" s="90" t="s">
        <v>42</v>
      </c>
      <c r="D35" s="90" t="s">
        <v>535</v>
      </c>
      <c r="E35" s="94">
        <f t="shared" si="2"/>
        <v>58.60565499999999</v>
      </c>
      <c r="F35" s="90" t="s">
        <v>558</v>
      </c>
      <c r="G35" s="90">
        <v>101618</v>
      </c>
      <c r="H35" s="90" t="s">
        <v>573</v>
      </c>
      <c r="I35" s="90" t="s">
        <v>22</v>
      </c>
      <c r="J35" s="90" t="s">
        <v>535</v>
      </c>
      <c r="K35" s="90">
        <v>0.065</v>
      </c>
      <c r="L35" s="92">
        <v>173.89</v>
      </c>
      <c r="M35" s="93">
        <f t="shared" si="3"/>
        <v>11.30285</v>
      </c>
    </row>
    <row r="36" ht="15">
      <c r="M36" s="93">
        <f>SUM(M30:M35)</f>
        <v>58.60565499999999</v>
      </c>
    </row>
    <row r="37" ht="15">
      <c r="M37" s="93"/>
    </row>
    <row r="38" spans="1:13" ht="15">
      <c r="A38" s="90" t="s">
        <v>574</v>
      </c>
      <c r="B38" s="90" t="s">
        <v>575</v>
      </c>
      <c r="C38" s="90" t="s">
        <v>17</v>
      </c>
      <c r="D38" s="90" t="s">
        <v>535</v>
      </c>
      <c r="E38" s="90">
        <v>685.55</v>
      </c>
      <c r="F38" s="90"/>
      <c r="G38" s="90"/>
      <c r="H38" s="90"/>
      <c r="I38" s="90"/>
      <c r="J38" s="90"/>
      <c r="K38" s="90"/>
      <c r="L38" s="92"/>
      <c r="M38" s="92"/>
    </row>
    <row r="39" spans="1:13" ht="15">
      <c r="A39" s="90" t="s">
        <v>574</v>
      </c>
      <c r="B39" s="90" t="s">
        <v>575</v>
      </c>
      <c r="C39" s="90" t="s">
        <v>17</v>
      </c>
      <c r="D39" s="90" t="s">
        <v>535</v>
      </c>
      <c r="E39" s="90">
        <v>685.55</v>
      </c>
      <c r="F39" s="90" t="s">
        <v>536</v>
      </c>
      <c r="G39" s="90">
        <v>34381</v>
      </c>
      <c r="H39" s="90" t="s">
        <v>576</v>
      </c>
      <c r="I39" s="90" t="s">
        <v>577</v>
      </c>
      <c r="J39" s="90" t="s">
        <v>547</v>
      </c>
      <c r="K39" s="90">
        <v>2.3</v>
      </c>
      <c r="L39" s="92">
        <v>220.32</v>
      </c>
      <c r="M39" s="93">
        <f>K39*L39</f>
        <v>506.73599999999993</v>
      </c>
    </row>
    <row r="40" spans="1:13" ht="15">
      <c r="A40" s="90" t="s">
        <v>574</v>
      </c>
      <c r="B40" s="90" t="s">
        <v>575</v>
      </c>
      <c r="C40" s="90" t="s">
        <v>17</v>
      </c>
      <c r="D40" s="90" t="s">
        <v>535</v>
      </c>
      <c r="E40" s="90">
        <v>685.55</v>
      </c>
      <c r="F40" s="90" t="s">
        <v>558</v>
      </c>
      <c r="G40" s="90">
        <v>88309</v>
      </c>
      <c r="H40" s="90" t="s">
        <v>578</v>
      </c>
      <c r="I40" s="90" t="s">
        <v>459</v>
      </c>
      <c r="J40" s="90" t="s">
        <v>547</v>
      </c>
      <c r="K40" s="90">
        <v>4.581</v>
      </c>
      <c r="L40" s="92">
        <v>21.53</v>
      </c>
      <c r="M40" s="93">
        <f>K40*L40</f>
        <v>98.62893000000001</v>
      </c>
    </row>
    <row r="41" spans="1:13" ht="15">
      <c r="A41" s="90" t="s">
        <v>574</v>
      </c>
      <c r="B41" s="90" t="s">
        <v>575</v>
      </c>
      <c r="C41" s="90" t="s">
        <v>17</v>
      </c>
      <c r="D41" s="90" t="s">
        <v>535</v>
      </c>
      <c r="E41" s="90">
        <v>685.55</v>
      </c>
      <c r="F41" s="90" t="s">
        <v>558</v>
      </c>
      <c r="G41" s="90">
        <v>88316</v>
      </c>
      <c r="H41" s="90" t="s">
        <v>562</v>
      </c>
      <c r="I41" s="90" t="s">
        <v>459</v>
      </c>
      <c r="J41" s="90" t="s">
        <v>547</v>
      </c>
      <c r="K41" s="90">
        <v>2.291</v>
      </c>
      <c r="L41" s="92">
        <v>17.76</v>
      </c>
      <c r="M41" s="93">
        <f>K41*L41</f>
        <v>40.68816</v>
      </c>
    </row>
    <row r="42" spans="1:13" ht="15">
      <c r="A42" s="90" t="s">
        <v>574</v>
      </c>
      <c r="B42" s="90" t="s">
        <v>575</v>
      </c>
      <c r="C42" s="90" t="s">
        <v>17</v>
      </c>
      <c r="D42" s="90" t="s">
        <v>535</v>
      </c>
      <c r="E42" s="90">
        <v>685.55</v>
      </c>
      <c r="F42" s="90" t="s">
        <v>558</v>
      </c>
      <c r="G42" s="90">
        <v>88629</v>
      </c>
      <c r="H42" s="90" t="s">
        <v>579</v>
      </c>
      <c r="I42" s="90" t="s">
        <v>22</v>
      </c>
      <c r="J42" s="90" t="s">
        <v>547</v>
      </c>
      <c r="K42" s="90">
        <v>0.021</v>
      </c>
      <c r="L42" s="92">
        <v>546.4</v>
      </c>
      <c r="M42" s="93">
        <f>K42*L42</f>
        <v>11.474400000000001</v>
      </c>
    </row>
    <row r="43" spans="1:13" ht="15">
      <c r="A43" s="90" t="s">
        <v>574</v>
      </c>
      <c r="B43" s="90" t="s">
        <v>575</v>
      </c>
      <c r="C43" s="90" t="s">
        <v>17</v>
      </c>
      <c r="D43" s="90" t="s">
        <v>535</v>
      </c>
      <c r="E43" s="90">
        <v>685.55</v>
      </c>
      <c r="F43" s="90" t="s">
        <v>536</v>
      </c>
      <c r="G43" s="90">
        <v>36888</v>
      </c>
      <c r="H43" s="90" t="s">
        <v>580</v>
      </c>
      <c r="I43" s="90" t="s">
        <v>581</v>
      </c>
      <c r="J43" s="90" t="s">
        <v>547</v>
      </c>
      <c r="K43" s="90">
        <v>2.94</v>
      </c>
      <c r="L43" s="92">
        <v>9.53</v>
      </c>
      <c r="M43" s="93">
        <f>K43*L43</f>
        <v>28.018199999999997</v>
      </c>
    </row>
    <row r="44" spans="1:13" ht="15">
      <c r="A44" s="90"/>
      <c r="B44" s="90"/>
      <c r="C44" s="90"/>
      <c r="D44" s="90"/>
      <c r="E44" s="90"/>
      <c r="F44" s="90"/>
      <c r="G44" s="90"/>
      <c r="H44" s="90"/>
      <c r="I44" s="90"/>
      <c r="J44" s="90"/>
      <c r="K44" s="90"/>
      <c r="L44" s="92"/>
      <c r="M44" s="93">
        <f>SUM(M39:M43)</f>
        <v>685.5456899999999</v>
      </c>
    </row>
    <row r="45" spans="1:13" ht="15">
      <c r="A45" s="90"/>
      <c r="B45" s="90"/>
      <c r="C45" s="90"/>
      <c r="D45" s="90"/>
      <c r="E45" s="90"/>
      <c r="F45" s="90"/>
      <c r="G45" s="90"/>
      <c r="H45" s="90"/>
      <c r="I45" s="90"/>
      <c r="J45" s="90"/>
      <c r="K45" s="90"/>
      <c r="L45" s="92"/>
      <c r="M45" s="93"/>
    </row>
    <row r="46" spans="1:13" ht="15">
      <c r="A46" s="90" t="s">
        <v>99</v>
      </c>
      <c r="B46" s="90" t="s">
        <v>100</v>
      </c>
      <c r="C46" s="90" t="s">
        <v>581</v>
      </c>
      <c r="D46" s="90"/>
      <c r="E46" s="90">
        <v>68.47</v>
      </c>
      <c r="F46" s="90" t="s">
        <v>536</v>
      </c>
      <c r="G46" s="90">
        <v>39426</v>
      </c>
      <c r="H46" s="90" t="s">
        <v>100</v>
      </c>
      <c r="I46" s="90" t="s">
        <v>581</v>
      </c>
      <c r="J46" s="90" t="s">
        <v>547</v>
      </c>
      <c r="K46" s="90">
        <v>1.1</v>
      </c>
      <c r="L46" s="92">
        <v>36.62</v>
      </c>
      <c r="M46" s="93">
        <f>K46*L46</f>
        <v>40.282000000000004</v>
      </c>
    </row>
    <row r="47" spans="1:13" ht="15">
      <c r="A47" s="90" t="s">
        <v>99</v>
      </c>
      <c r="B47" s="90" t="s">
        <v>100</v>
      </c>
      <c r="C47" s="90" t="s">
        <v>581</v>
      </c>
      <c r="D47" s="90"/>
      <c r="E47" s="90">
        <v>68.47</v>
      </c>
      <c r="F47" s="90" t="s">
        <v>558</v>
      </c>
      <c r="G47" s="90" t="s">
        <v>559</v>
      </c>
      <c r="H47" s="90" t="s">
        <v>560</v>
      </c>
      <c r="I47" s="90" t="s">
        <v>459</v>
      </c>
      <c r="J47" s="90" t="s">
        <v>542</v>
      </c>
      <c r="K47" s="90">
        <v>1.0549</v>
      </c>
      <c r="L47" s="92">
        <v>22.01</v>
      </c>
      <c r="M47" s="93">
        <f>K47*L47</f>
        <v>23.218349</v>
      </c>
    </row>
    <row r="48" spans="1:13" ht="15">
      <c r="A48" s="90" t="s">
        <v>99</v>
      </c>
      <c r="B48" s="90" t="s">
        <v>100</v>
      </c>
      <c r="C48" s="90" t="s">
        <v>581</v>
      </c>
      <c r="D48" s="90"/>
      <c r="E48" s="90">
        <v>68.47</v>
      </c>
      <c r="F48" s="90" t="s">
        <v>558</v>
      </c>
      <c r="G48" s="90" t="s">
        <v>561</v>
      </c>
      <c r="H48" s="90" t="s">
        <v>562</v>
      </c>
      <c r="I48" s="90" t="s">
        <v>459</v>
      </c>
      <c r="J48" s="90" t="s">
        <v>547</v>
      </c>
      <c r="K48" s="90">
        <v>0.2637</v>
      </c>
      <c r="L48" s="92">
        <v>18.84</v>
      </c>
      <c r="M48" s="93">
        <f>K48*L48</f>
        <v>4.968108</v>
      </c>
    </row>
    <row r="49" spans="1:13" ht="15">
      <c r="A49" s="90"/>
      <c r="B49" s="90"/>
      <c r="C49" s="90"/>
      <c r="D49" s="90"/>
      <c r="E49" s="90"/>
      <c r="F49" s="90"/>
      <c r="G49" s="90"/>
      <c r="H49" s="90"/>
      <c r="I49" s="90"/>
      <c r="J49" s="90"/>
      <c r="K49" s="90"/>
      <c r="L49" s="92"/>
      <c r="M49" s="93">
        <f>SUM(M46:M48)</f>
        <v>68.468457</v>
      </c>
    </row>
    <row r="50" spans="1:13" ht="15">
      <c r="A50" s="90"/>
      <c r="B50" s="90"/>
      <c r="C50" s="90"/>
      <c r="D50" s="90"/>
      <c r="E50" s="90"/>
      <c r="F50" s="90"/>
      <c r="G50" s="90"/>
      <c r="H50" s="90"/>
      <c r="I50" s="90"/>
      <c r="J50" s="90"/>
      <c r="K50" s="90"/>
      <c r="L50" s="92"/>
      <c r="M50" s="93"/>
    </row>
    <row r="51" spans="1:13" ht="15">
      <c r="A51" s="90"/>
      <c r="B51" s="90"/>
      <c r="C51" s="90"/>
      <c r="D51" s="90"/>
      <c r="E51" s="90"/>
      <c r="F51" s="90"/>
      <c r="G51" s="90"/>
      <c r="H51" s="90"/>
      <c r="I51" s="90"/>
      <c r="J51" s="90"/>
      <c r="K51" s="90"/>
      <c r="L51" s="92"/>
      <c r="M51" s="93"/>
    </row>
    <row r="52" spans="1:13" ht="15">
      <c r="A52" s="90" t="s">
        <v>582</v>
      </c>
      <c r="B52" s="95" t="s">
        <v>583</v>
      </c>
      <c r="C52" s="90" t="s">
        <v>581</v>
      </c>
      <c r="D52" s="90" t="s">
        <v>535</v>
      </c>
      <c r="E52" s="96">
        <v>91.391328</v>
      </c>
      <c r="F52" s="97" t="s">
        <v>536</v>
      </c>
      <c r="G52" s="95" t="s">
        <v>584</v>
      </c>
      <c r="H52" s="95" t="s">
        <v>585</v>
      </c>
      <c r="I52" s="95" t="s">
        <v>42</v>
      </c>
      <c r="J52" s="90"/>
      <c r="K52" s="90">
        <v>1.0211</v>
      </c>
      <c r="L52" s="92">
        <v>54.68</v>
      </c>
      <c r="M52" s="93">
        <f aca="true" t="shared" si="4" ref="M52:M57">K52*L52</f>
        <v>55.83374799999999</v>
      </c>
    </row>
    <row r="53" spans="1:13" ht="15">
      <c r="A53" s="90" t="s">
        <v>582</v>
      </c>
      <c r="B53" s="95" t="s">
        <v>583</v>
      </c>
      <c r="C53" s="90" t="s">
        <v>581</v>
      </c>
      <c r="D53" s="90" t="s">
        <v>535</v>
      </c>
      <c r="E53" s="96">
        <v>91.391328</v>
      </c>
      <c r="F53" s="97" t="s">
        <v>558</v>
      </c>
      <c r="G53" s="95" t="s">
        <v>586</v>
      </c>
      <c r="H53" s="95" t="s">
        <v>587</v>
      </c>
      <c r="I53" s="95" t="s">
        <v>459</v>
      </c>
      <c r="J53" s="90"/>
      <c r="K53" s="90">
        <v>0.338</v>
      </c>
      <c r="L53" s="92">
        <v>19.53</v>
      </c>
      <c r="M53" s="93">
        <f t="shared" si="4"/>
        <v>6.601140000000001</v>
      </c>
    </row>
    <row r="54" spans="1:13" ht="15">
      <c r="A54" s="90" t="s">
        <v>582</v>
      </c>
      <c r="B54" s="95" t="s">
        <v>583</v>
      </c>
      <c r="C54" s="90" t="s">
        <v>581</v>
      </c>
      <c r="D54" s="90" t="s">
        <v>535</v>
      </c>
      <c r="E54" s="96">
        <v>91.391328</v>
      </c>
      <c r="F54" s="97" t="s">
        <v>558</v>
      </c>
      <c r="G54" s="95" t="s">
        <v>588</v>
      </c>
      <c r="H54" s="95" t="s">
        <v>589</v>
      </c>
      <c r="I54" s="95" t="s">
        <v>459</v>
      </c>
      <c r="J54" s="90"/>
      <c r="K54" s="90">
        <v>0.338</v>
      </c>
      <c r="L54" s="92">
        <v>22.28</v>
      </c>
      <c r="M54" s="93">
        <f t="shared" si="4"/>
        <v>7.530640000000001</v>
      </c>
    </row>
    <row r="55" spans="1:13" ht="15">
      <c r="A55" s="90" t="s">
        <v>582</v>
      </c>
      <c r="B55" s="95" t="s">
        <v>583</v>
      </c>
      <c r="C55" s="90" t="s">
        <v>581</v>
      </c>
      <c r="D55" s="90" t="s">
        <v>535</v>
      </c>
      <c r="E55" s="96">
        <v>91.391328</v>
      </c>
      <c r="F55" s="97" t="s">
        <v>536</v>
      </c>
      <c r="G55" s="95" t="s">
        <v>590</v>
      </c>
      <c r="H55" s="95" t="s">
        <v>591</v>
      </c>
      <c r="I55" s="95" t="s">
        <v>39</v>
      </c>
      <c r="J55" s="90"/>
      <c r="K55" s="90">
        <v>0.05</v>
      </c>
      <c r="L55" s="92">
        <v>333.94</v>
      </c>
      <c r="M55" s="93">
        <f t="shared" si="4"/>
        <v>16.697</v>
      </c>
    </row>
    <row r="56" spans="1:13" ht="15">
      <c r="A56" s="90" t="s">
        <v>582</v>
      </c>
      <c r="B56" s="95" t="s">
        <v>583</v>
      </c>
      <c r="C56" s="90" t="s">
        <v>581</v>
      </c>
      <c r="D56" s="90" t="s">
        <v>535</v>
      </c>
      <c r="E56" s="96">
        <v>91.391328</v>
      </c>
      <c r="F56" s="97" t="s">
        <v>536</v>
      </c>
      <c r="G56" s="95" t="s">
        <v>592</v>
      </c>
      <c r="H56" s="95" t="s">
        <v>593</v>
      </c>
      <c r="I56" s="95" t="s">
        <v>39</v>
      </c>
      <c r="J56" s="90"/>
      <c r="K56" s="90">
        <v>1</v>
      </c>
      <c r="L56" s="92">
        <v>2.28</v>
      </c>
      <c r="M56" s="93">
        <f t="shared" si="4"/>
        <v>2.28</v>
      </c>
    </row>
    <row r="57" spans="1:13" ht="15">
      <c r="A57" s="90" t="s">
        <v>582</v>
      </c>
      <c r="B57" s="95" t="s">
        <v>583</v>
      </c>
      <c r="C57" s="90" t="s">
        <v>581</v>
      </c>
      <c r="D57" s="90" t="s">
        <v>535</v>
      </c>
      <c r="E57" s="96">
        <v>91.391328</v>
      </c>
      <c r="F57" s="97" t="s">
        <v>536</v>
      </c>
      <c r="G57" s="95" t="s">
        <v>594</v>
      </c>
      <c r="H57" s="95" t="s">
        <v>595</v>
      </c>
      <c r="I57" s="95" t="s">
        <v>39</v>
      </c>
      <c r="J57" s="90"/>
      <c r="K57" s="90">
        <v>0.04</v>
      </c>
      <c r="L57" s="92">
        <v>61.22</v>
      </c>
      <c r="M57" s="93">
        <f t="shared" si="4"/>
        <v>2.4488</v>
      </c>
    </row>
    <row r="58" spans="1:13" ht="15">
      <c r="A58" s="97"/>
      <c r="B58" s="95"/>
      <c r="C58" s="95"/>
      <c r="D58" s="95"/>
      <c r="E58" s="95"/>
      <c r="F58" s="95"/>
      <c r="G58" s="95"/>
      <c r="H58" s="95"/>
      <c r="I58" s="95"/>
      <c r="J58" s="95"/>
      <c r="K58" s="95"/>
      <c r="L58" s="98"/>
      <c r="M58" s="93">
        <f>SUM(M52:M57)</f>
        <v>91.391328</v>
      </c>
    </row>
    <row r="59" spans="1:13" ht="15">
      <c r="A59" s="97"/>
      <c r="B59" s="95"/>
      <c r="C59" s="95"/>
      <c r="D59" s="95"/>
      <c r="E59" s="96"/>
      <c r="F59" s="95"/>
      <c r="G59" s="95"/>
      <c r="H59" s="95"/>
      <c r="I59" s="95"/>
      <c r="J59" s="95"/>
      <c r="K59" s="95"/>
      <c r="L59" s="98"/>
      <c r="M59" s="98"/>
    </row>
    <row r="60" spans="1:13" ht="15">
      <c r="A60" s="97" t="s">
        <v>444</v>
      </c>
      <c r="B60" s="95" t="s">
        <v>445</v>
      </c>
      <c r="C60" s="90" t="s">
        <v>39</v>
      </c>
      <c r="D60" s="95"/>
      <c r="E60" s="96">
        <v>203.13</v>
      </c>
      <c r="F60" s="95"/>
      <c r="G60" s="95"/>
      <c r="H60" s="95"/>
      <c r="I60" s="95"/>
      <c r="J60" s="95"/>
      <c r="K60" s="95"/>
      <c r="L60" s="98"/>
      <c r="M60" s="98"/>
    </row>
    <row r="61" spans="1:13" ht="15">
      <c r="A61" s="97" t="s">
        <v>444</v>
      </c>
      <c r="B61" s="95" t="s">
        <v>445</v>
      </c>
      <c r="C61" s="90" t="s">
        <v>39</v>
      </c>
      <c r="D61" s="95"/>
      <c r="E61" s="96">
        <v>203.13</v>
      </c>
      <c r="F61" s="95" t="s">
        <v>536</v>
      </c>
      <c r="G61" s="95" t="s">
        <v>596</v>
      </c>
      <c r="H61" s="95" t="s">
        <v>597</v>
      </c>
      <c r="I61" s="95" t="s">
        <v>39</v>
      </c>
      <c r="J61" s="95"/>
      <c r="K61" s="95">
        <v>0.5</v>
      </c>
      <c r="L61" s="99">
        <v>145</v>
      </c>
      <c r="M61" s="99">
        <f>K61*L61</f>
        <v>72.5</v>
      </c>
    </row>
    <row r="62" spans="1:13" ht="15">
      <c r="A62" s="97" t="s">
        <v>444</v>
      </c>
      <c r="B62" s="95" t="s">
        <v>445</v>
      </c>
      <c r="C62" s="90" t="s">
        <v>39</v>
      </c>
      <c r="D62" s="95"/>
      <c r="E62" s="96">
        <v>203.13</v>
      </c>
      <c r="F62" s="95" t="s">
        <v>536</v>
      </c>
      <c r="G62" s="95" t="s">
        <v>596</v>
      </c>
      <c r="H62" s="95" t="s">
        <v>598</v>
      </c>
      <c r="I62" s="95" t="s">
        <v>39</v>
      </c>
      <c r="J62" s="95"/>
      <c r="K62" s="95">
        <v>0.5</v>
      </c>
      <c r="L62" s="99">
        <v>145</v>
      </c>
      <c r="M62" s="99">
        <f>K62*L62</f>
        <v>72.5</v>
      </c>
    </row>
    <row r="63" spans="1:13" ht="15">
      <c r="A63" s="97" t="s">
        <v>444</v>
      </c>
      <c r="B63" s="95" t="s">
        <v>445</v>
      </c>
      <c r="C63" s="90" t="s">
        <v>39</v>
      </c>
      <c r="D63" s="95"/>
      <c r="E63" s="96">
        <v>203.13</v>
      </c>
      <c r="F63" s="95" t="s">
        <v>558</v>
      </c>
      <c r="G63" s="95">
        <v>2701</v>
      </c>
      <c r="H63" s="95" t="s">
        <v>599</v>
      </c>
      <c r="I63" s="95" t="s">
        <v>459</v>
      </c>
      <c r="J63" s="95"/>
      <c r="K63" s="95">
        <v>2</v>
      </c>
      <c r="L63" s="99">
        <v>19.15</v>
      </c>
      <c r="M63" s="99">
        <f>K63*L63</f>
        <v>38.3</v>
      </c>
    </row>
    <row r="64" spans="1:13" ht="15">
      <c r="A64" s="97" t="s">
        <v>444</v>
      </c>
      <c r="B64" s="95" t="s">
        <v>445</v>
      </c>
      <c r="C64" s="90" t="s">
        <v>39</v>
      </c>
      <c r="D64" s="95"/>
      <c r="E64" s="96">
        <v>203.13</v>
      </c>
      <c r="F64" s="95" t="s">
        <v>558</v>
      </c>
      <c r="G64" s="95" t="s">
        <v>600</v>
      </c>
      <c r="H64" s="95" t="s">
        <v>601</v>
      </c>
      <c r="I64" s="95" t="s">
        <v>459</v>
      </c>
      <c r="J64" s="95"/>
      <c r="K64" s="95">
        <v>1</v>
      </c>
      <c r="L64" s="99">
        <v>19.83</v>
      </c>
      <c r="M64" s="99">
        <f>K64*L64</f>
        <v>19.83</v>
      </c>
    </row>
    <row r="65" spans="1:13" ht="15">
      <c r="A65" s="90"/>
      <c r="B65" s="90"/>
      <c r="C65" s="90"/>
      <c r="D65" s="90"/>
      <c r="E65" s="90"/>
      <c r="F65" s="90"/>
      <c r="G65" s="90"/>
      <c r="H65" s="90"/>
      <c r="I65" s="90"/>
      <c r="J65" s="90"/>
      <c r="K65" s="90"/>
      <c r="L65" s="92"/>
      <c r="M65" s="99">
        <f>SUM(M61:M64)</f>
        <v>203.13</v>
      </c>
    </row>
    <row r="66" spans="1:13" ht="15">
      <c r="A66" s="90"/>
      <c r="B66" s="90"/>
      <c r="C66" s="90"/>
      <c r="D66" s="90"/>
      <c r="E66" s="90"/>
      <c r="F66" s="90"/>
      <c r="G66" s="90"/>
      <c r="H66" s="90"/>
      <c r="I66" s="90"/>
      <c r="J66" s="90"/>
      <c r="K66" s="90"/>
      <c r="L66" s="92"/>
      <c r="M66" s="93"/>
    </row>
    <row r="67" spans="1:13" ht="15">
      <c r="A67" s="90" t="s">
        <v>602</v>
      </c>
      <c r="B67" s="90" t="s">
        <v>603</v>
      </c>
      <c r="C67" s="90" t="s">
        <v>17</v>
      </c>
      <c r="D67" s="90" t="s">
        <v>535</v>
      </c>
      <c r="E67" s="91">
        <v>168.511926</v>
      </c>
      <c r="F67" s="90"/>
      <c r="G67" s="90"/>
      <c r="H67" s="90"/>
      <c r="I67" s="90"/>
      <c r="J67" s="90"/>
      <c r="K67" s="90"/>
      <c r="L67" s="92"/>
      <c r="M67" s="92"/>
    </row>
    <row r="68" spans="1:13" ht="15">
      <c r="A68" s="90" t="s">
        <v>602</v>
      </c>
      <c r="B68" s="90" t="s">
        <v>603</v>
      </c>
      <c r="C68" s="90" t="s">
        <v>17</v>
      </c>
      <c r="D68" s="90" t="s">
        <v>535</v>
      </c>
      <c r="E68" s="91">
        <v>168.511926</v>
      </c>
      <c r="F68" s="90" t="s">
        <v>536</v>
      </c>
      <c r="G68" s="90" t="s">
        <v>537</v>
      </c>
      <c r="H68" s="90" t="s">
        <v>538</v>
      </c>
      <c r="I68" s="90" t="s">
        <v>539</v>
      </c>
      <c r="J68" s="90" t="s">
        <v>535</v>
      </c>
      <c r="K68" s="90">
        <v>0.0243</v>
      </c>
      <c r="L68" s="92">
        <v>47.55</v>
      </c>
      <c r="M68" s="93">
        <f aca="true" t="shared" si="5" ref="M68:M78">K68*L68</f>
        <v>1.155465</v>
      </c>
    </row>
    <row r="69" spans="1:13" ht="15">
      <c r="A69" s="90" t="s">
        <v>602</v>
      </c>
      <c r="B69" s="90" t="s">
        <v>603</v>
      </c>
      <c r="C69" s="90" t="s">
        <v>17</v>
      </c>
      <c r="D69" s="90" t="s">
        <v>535</v>
      </c>
      <c r="E69" s="91">
        <v>168.511926</v>
      </c>
      <c r="F69" s="90" t="s">
        <v>536</v>
      </c>
      <c r="G69" s="90">
        <v>11062</v>
      </c>
      <c r="H69" s="90" t="s">
        <v>604</v>
      </c>
      <c r="I69" s="90" t="s">
        <v>541</v>
      </c>
      <c r="J69" s="90" t="s">
        <v>542</v>
      </c>
      <c r="K69" s="90">
        <v>2.106</v>
      </c>
      <c r="L69" s="92">
        <v>50.09</v>
      </c>
      <c r="M69" s="93">
        <f t="shared" si="5"/>
        <v>105.48954</v>
      </c>
    </row>
    <row r="70" spans="1:13" ht="15">
      <c r="A70" s="90" t="s">
        <v>602</v>
      </c>
      <c r="B70" s="90" t="s">
        <v>603</v>
      </c>
      <c r="C70" s="90" t="s">
        <v>17</v>
      </c>
      <c r="D70" s="90" t="s">
        <v>535</v>
      </c>
      <c r="E70" s="91">
        <v>168.511926</v>
      </c>
      <c r="F70" s="90" t="s">
        <v>536</v>
      </c>
      <c r="G70" s="90" t="s">
        <v>543</v>
      </c>
      <c r="H70" s="90" t="s">
        <v>544</v>
      </c>
      <c r="I70" s="90" t="s">
        <v>42</v>
      </c>
      <c r="J70" s="90" t="s">
        <v>542</v>
      </c>
      <c r="K70" s="90">
        <v>0.7604</v>
      </c>
      <c r="L70" s="92">
        <v>12.37</v>
      </c>
      <c r="M70" s="93">
        <f t="shared" si="5"/>
        <v>9.406147999999998</v>
      </c>
    </row>
    <row r="71" spans="1:13" ht="15">
      <c r="A71" s="90" t="s">
        <v>602</v>
      </c>
      <c r="B71" s="90" t="s">
        <v>603</v>
      </c>
      <c r="C71" s="90" t="s">
        <v>17</v>
      </c>
      <c r="D71" s="90" t="s">
        <v>535</v>
      </c>
      <c r="E71" s="91">
        <v>168.511926</v>
      </c>
      <c r="F71" s="90" t="s">
        <v>536</v>
      </c>
      <c r="G71" s="90" t="s">
        <v>545</v>
      </c>
      <c r="H71" s="90" t="s">
        <v>546</v>
      </c>
      <c r="I71" s="90" t="s">
        <v>42</v>
      </c>
      <c r="J71" s="90" t="s">
        <v>547</v>
      </c>
      <c r="K71" s="90">
        <v>1.991</v>
      </c>
      <c r="L71" s="92">
        <v>14.03</v>
      </c>
      <c r="M71" s="93">
        <f t="shared" si="5"/>
        <v>27.93373</v>
      </c>
    </row>
    <row r="72" spans="1:13" ht="15">
      <c r="A72" s="90" t="s">
        <v>602</v>
      </c>
      <c r="B72" s="90" t="s">
        <v>603</v>
      </c>
      <c r="C72" s="90" t="s">
        <v>17</v>
      </c>
      <c r="D72" s="90" t="s">
        <v>535</v>
      </c>
      <c r="E72" s="91">
        <v>168.511926</v>
      </c>
      <c r="F72" s="90" t="s">
        <v>536</v>
      </c>
      <c r="G72" s="90" t="s">
        <v>548</v>
      </c>
      <c r="H72" s="90" t="s">
        <v>549</v>
      </c>
      <c r="I72" s="90" t="s">
        <v>42</v>
      </c>
      <c r="J72" s="90" t="s">
        <v>542</v>
      </c>
      <c r="K72" s="90">
        <v>2.5027</v>
      </c>
      <c r="L72" s="92">
        <v>0.36</v>
      </c>
      <c r="M72" s="93">
        <f t="shared" si="5"/>
        <v>0.9009719999999999</v>
      </c>
    </row>
    <row r="73" spans="1:13" ht="15">
      <c r="A73" s="90" t="s">
        <v>602</v>
      </c>
      <c r="B73" s="90" t="s">
        <v>603</v>
      </c>
      <c r="C73" s="90" t="s">
        <v>17</v>
      </c>
      <c r="D73" s="90" t="s">
        <v>535</v>
      </c>
      <c r="E73" s="91">
        <v>168.511926</v>
      </c>
      <c r="F73" s="90" t="s">
        <v>536</v>
      </c>
      <c r="G73" s="90" t="s">
        <v>550</v>
      </c>
      <c r="H73" s="90" t="s">
        <v>551</v>
      </c>
      <c r="I73" s="90" t="s">
        <v>42</v>
      </c>
      <c r="J73" s="90" t="s">
        <v>542</v>
      </c>
      <c r="K73" s="90">
        <v>0.7407</v>
      </c>
      <c r="L73" s="92">
        <v>3.17</v>
      </c>
      <c r="M73" s="93">
        <f t="shared" si="5"/>
        <v>2.348019</v>
      </c>
    </row>
    <row r="74" spans="1:13" ht="15">
      <c r="A74" s="90" t="s">
        <v>602</v>
      </c>
      <c r="B74" s="90" t="s">
        <v>603</v>
      </c>
      <c r="C74" s="90" t="s">
        <v>17</v>
      </c>
      <c r="D74" s="90" t="s">
        <v>535</v>
      </c>
      <c r="E74" s="91">
        <v>168.511926</v>
      </c>
      <c r="F74" s="90" t="s">
        <v>536</v>
      </c>
      <c r="G74" s="90" t="s">
        <v>552</v>
      </c>
      <c r="H74" s="90" t="s">
        <v>553</v>
      </c>
      <c r="I74" s="90" t="s">
        <v>62</v>
      </c>
      <c r="J74" s="90" t="s">
        <v>542</v>
      </c>
      <c r="K74" s="90">
        <v>1.0327</v>
      </c>
      <c r="L74" s="92">
        <v>3.97</v>
      </c>
      <c r="M74" s="93">
        <f t="shared" si="5"/>
        <v>4.099819</v>
      </c>
    </row>
    <row r="75" spans="1:13" ht="15">
      <c r="A75" s="90" t="s">
        <v>602</v>
      </c>
      <c r="B75" s="90" t="s">
        <v>603</v>
      </c>
      <c r="C75" s="90" t="s">
        <v>17</v>
      </c>
      <c r="D75" s="90" t="s">
        <v>535</v>
      </c>
      <c r="E75" s="91">
        <v>168.511926</v>
      </c>
      <c r="F75" s="90" t="s">
        <v>536</v>
      </c>
      <c r="G75" s="90" t="s">
        <v>554</v>
      </c>
      <c r="H75" s="90" t="s">
        <v>555</v>
      </c>
      <c r="I75" s="90" t="s">
        <v>39</v>
      </c>
      <c r="J75" s="90" t="s">
        <v>535</v>
      </c>
      <c r="K75" s="90">
        <v>20.0077</v>
      </c>
      <c r="L75" s="92">
        <v>0.12</v>
      </c>
      <c r="M75" s="93">
        <f t="shared" si="5"/>
        <v>2.400924</v>
      </c>
    </row>
    <row r="76" spans="1:13" ht="15">
      <c r="A76" s="90" t="s">
        <v>602</v>
      </c>
      <c r="B76" s="90" t="s">
        <v>603</v>
      </c>
      <c r="C76" s="90" t="s">
        <v>17</v>
      </c>
      <c r="D76" s="90" t="s">
        <v>535</v>
      </c>
      <c r="E76" s="91">
        <v>168.511926</v>
      </c>
      <c r="F76" s="90" t="s">
        <v>536</v>
      </c>
      <c r="G76" s="90" t="s">
        <v>556</v>
      </c>
      <c r="H76" s="90" t="s">
        <v>557</v>
      </c>
      <c r="I76" s="90" t="s">
        <v>39</v>
      </c>
      <c r="J76" s="90" t="s">
        <v>535</v>
      </c>
      <c r="K76" s="90">
        <v>0.8076</v>
      </c>
      <c r="L76" s="92">
        <v>0.27</v>
      </c>
      <c r="M76" s="93">
        <f t="shared" si="5"/>
        <v>0.21805200000000002</v>
      </c>
    </row>
    <row r="77" spans="1:13" ht="15">
      <c r="A77" s="90" t="s">
        <v>602</v>
      </c>
      <c r="B77" s="90" t="s">
        <v>603</v>
      </c>
      <c r="C77" s="90" t="s">
        <v>17</v>
      </c>
      <c r="D77" s="90" t="s">
        <v>535</v>
      </c>
      <c r="E77" s="91">
        <v>168.511926</v>
      </c>
      <c r="F77" s="90" t="s">
        <v>558</v>
      </c>
      <c r="G77" s="90" t="s">
        <v>559</v>
      </c>
      <c r="H77" s="90" t="s">
        <v>560</v>
      </c>
      <c r="I77" s="90" t="s">
        <v>459</v>
      </c>
      <c r="J77" s="90" t="s">
        <v>542</v>
      </c>
      <c r="K77" s="90">
        <v>0.5449</v>
      </c>
      <c r="L77" s="92">
        <v>22.01</v>
      </c>
      <c r="M77" s="93">
        <f t="shared" si="5"/>
        <v>11.993249000000002</v>
      </c>
    </row>
    <row r="78" spans="1:13" ht="15">
      <c r="A78" s="90" t="s">
        <v>602</v>
      </c>
      <c r="B78" s="90" t="s">
        <v>603</v>
      </c>
      <c r="C78" s="90" t="s">
        <v>17</v>
      </c>
      <c r="D78" s="90" t="s">
        <v>535</v>
      </c>
      <c r="E78" s="91">
        <v>168.511926</v>
      </c>
      <c r="F78" s="90" t="s">
        <v>558</v>
      </c>
      <c r="G78" s="90" t="s">
        <v>561</v>
      </c>
      <c r="H78" s="90" t="s">
        <v>562</v>
      </c>
      <c r="I78" s="90" t="s">
        <v>459</v>
      </c>
      <c r="J78" s="90" t="s">
        <v>547</v>
      </c>
      <c r="K78" s="90">
        <v>0.1362</v>
      </c>
      <c r="L78" s="92">
        <v>18.84</v>
      </c>
      <c r="M78" s="93">
        <f t="shared" si="5"/>
        <v>2.5660079999999996</v>
      </c>
    </row>
    <row r="79" ht="15">
      <c r="M79" s="93">
        <f>SUM(M68:M78)</f>
        <v>168.51192600000002</v>
      </c>
    </row>
    <row r="80" spans="1:13" ht="15">
      <c r="A80" s="100"/>
      <c r="B80" s="90"/>
      <c r="C80" s="90"/>
      <c r="D80" s="90"/>
      <c r="E80" s="90"/>
      <c r="F80" s="90"/>
      <c r="G80" s="90"/>
      <c r="H80" s="90"/>
      <c r="I80" s="90"/>
      <c r="J80" s="90"/>
      <c r="K80" s="90"/>
      <c r="L80" s="92"/>
      <c r="M80" s="93"/>
    </row>
    <row r="81" spans="1:13" ht="15">
      <c r="A81" s="90" t="s">
        <v>134</v>
      </c>
      <c r="B81" s="90" t="s">
        <v>135</v>
      </c>
      <c r="C81" s="90" t="s">
        <v>39</v>
      </c>
      <c r="D81" s="90" t="s">
        <v>542</v>
      </c>
      <c r="E81" s="90">
        <v>2640.69</v>
      </c>
      <c r="F81" s="90"/>
      <c r="G81" s="90"/>
      <c r="H81" s="90"/>
      <c r="I81" s="90"/>
      <c r="J81" s="90"/>
      <c r="K81" s="90"/>
      <c r="L81" s="92"/>
      <c r="M81" s="92"/>
    </row>
    <row r="82" spans="1:13" ht="15">
      <c r="A82" s="90" t="s">
        <v>134</v>
      </c>
      <c r="B82" s="90" t="s">
        <v>135</v>
      </c>
      <c r="C82" s="90" t="s">
        <v>39</v>
      </c>
      <c r="D82" s="90" t="s">
        <v>542</v>
      </c>
      <c r="E82" s="90">
        <v>2640.69</v>
      </c>
      <c r="F82" s="90" t="s">
        <v>536</v>
      </c>
      <c r="G82" s="90" t="s">
        <v>605</v>
      </c>
      <c r="H82" s="90" t="s">
        <v>606</v>
      </c>
      <c r="I82" s="90" t="s">
        <v>39</v>
      </c>
      <c r="J82" s="90" t="s">
        <v>542</v>
      </c>
      <c r="K82" s="90">
        <v>2</v>
      </c>
      <c r="L82" s="101">
        <v>1239.23</v>
      </c>
      <c r="M82" s="101">
        <f>K82*L82</f>
        <v>2478.46</v>
      </c>
    </row>
    <row r="83" spans="1:13" ht="15">
      <c r="A83" s="90" t="s">
        <v>134</v>
      </c>
      <c r="B83" s="90" t="s">
        <v>135</v>
      </c>
      <c r="C83" s="90" t="s">
        <v>39</v>
      </c>
      <c r="D83" s="90" t="s">
        <v>542</v>
      </c>
      <c r="E83" s="90">
        <v>2640.69</v>
      </c>
      <c r="F83" s="90" t="s">
        <v>558</v>
      </c>
      <c r="G83" s="90" t="s">
        <v>607</v>
      </c>
      <c r="H83" s="90" t="s">
        <v>578</v>
      </c>
      <c r="I83" s="90" t="s">
        <v>459</v>
      </c>
      <c r="J83" s="90" t="s">
        <v>547</v>
      </c>
      <c r="K83" s="90">
        <v>3.464</v>
      </c>
      <c r="L83" s="92">
        <v>22.79</v>
      </c>
      <c r="M83" s="101">
        <f>K83*L83</f>
        <v>78.94456</v>
      </c>
    </row>
    <row r="84" spans="1:13" ht="15">
      <c r="A84" s="90" t="s">
        <v>134</v>
      </c>
      <c r="B84" s="90" t="s">
        <v>135</v>
      </c>
      <c r="C84" s="90" t="s">
        <v>39</v>
      </c>
      <c r="D84" s="90" t="s">
        <v>542</v>
      </c>
      <c r="E84" s="90">
        <v>2640.69</v>
      </c>
      <c r="F84" s="90" t="s">
        <v>558</v>
      </c>
      <c r="G84" s="90" t="s">
        <v>561</v>
      </c>
      <c r="H84" s="90" t="s">
        <v>562</v>
      </c>
      <c r="I84" s="90" t="s">
        <v>459</v>
      </c>
      <c r="J84" s="90" t="s">
        <v>547</v>
      </c>
      <c r="K84" s="90">
        <v>1.732</v>
      </c>
      <c r="L84" s="92">
        <v>18.84</v>
      </c>
      <c r="M84" s="101">
        <f>K84*L84</f>
        <v>32.63088</v>
      </c>
    </row>
    <row r="85" spans="1:13" ht="15">
      <c r="A85" s="90" t="s">
        <v>134</v>
      </c>
      <c r="B85" s="90" t="s">
        <v>135</v>
      </c>
      <c r="C85" s="90" t="s">
        <v>39</v>
      </c>
      <c r="D85" s="90" t="s">
        <v>542</v>
      </c>
      <c r="E85" s="90">
        <v>2640.69</v>
      </c>
      <c r="F85" s="90" t="s">
        <v>558</v>
      </c>
      <c r="G85" s="90" t="s">
        <v>608</v>
      </c>
      <c r="H85" s="90" t="s">
        <v>579</v>
      </c>
      <c r="I85" s="90" t="s">
        <v>22</v>
      </c>
      <c r="J85" s="90" t="s">
        <v>542</v>
      </c>
      <c r="K85" s="90">
        <v>0.0844</v>
      </c>
      <c r="L85" s="92">
        <v>600.13</v>
      </c>
      <c r="M85" s="101">
        <f>K85*L85</f>
        <v>50.650972</v>
      </c>
    </row>
    <row r="86" spans="1:13" ht="15">
      <c r="A86" s="100"/>
      <c r="B86" s="90"/>
      <c r="C86" s="90"/>
      <c r="D86" s="90"/>
      <c r="E86" s="90"/>
      <c r="F86" s="90"/>
      <c r="G86" s="90"/>
      <c r="H86" s="90"/>
      <c r="I86" s="90"/>
      <c r="J86" s="90"/>
      <c r="K86" s="90"/>
      <c r="L86" s="92"/>
      <c r="M86" s="93">
        <f>SUM(M82:M85)</f>
        <v>2640.686412</v>
      </c>
    </row>
    <row r="87" spans="1:13" ht="15">
      <c r="A87" s="100"/>
      <c r="B87" s="90"/>
      <c r="C87" s="90"/>
      <c r="D87" s="90"/>
      <c r="E87" s="90"/>
      <c r="F87" s="90"/>
      <c r="G87" s="90"/>
      <c r="H87" s="90"/>
      <c r="I87" s="90"/>
      <c r="J87" s="90"/>
      <c r="K87" s="90"/>
      <c r="L87" s="92"/>
      <c r="M87" s="92"/>
    </row>
    <row r="88" spans="1:13" ht="15">
      <c r="A88" s="97" t="s">
        <v>435</v>
      </c>
      <c r="B88" s="95" t="s">
        <v>609</v>
      </c>
      <c r="C88" s="95" t="s">
        <v>42</v>
      </c>
      <c r="D88" s="95" t="s">
        <v>535</v>
      </c>
      <c r="E88" s="96">
        <v>149.792828</v>
      </c>
      <c r="F88" s="95"/>
      <c r="G88" s="95"/>
      <c r="H88" s="95"/>
      <c r="I88" s="95"/>
      <c r="J88" s="95"/>
      <c r="K88" s="95"/>
      <c r="L88" s="98"/>
      <c r="M88" s="98"/>
    </row>
    <row r="89" spans="1:13" ht="15">
      <c r="A89" s="97" t="s">
        <v>435</v>
      </c>
      <c r="B89" s="95" t="s">
        <v>609</v>
      </c>
      <c r="C89" s="95" t="s">
        <v>42</v>
      </c>
      <c r="D89" s="95" t="s">
        <v>535</v>
      </c>
      <c r="E89" s="96">
        <v>149.792828</v>
      </c>
      <c r="F89" s="95" t="s">
        <v>536</v>
      </c>
      <c r="G89" s="95" t="s">
        <v>610</v>
      </c>
      <c r="H89" s="95" t="s">
        <v>611</v>
      </c>
      <c r="I89" s="95" t="s">
        <v>42</v>
      </c>
      <c r="J89" s="95" t="s">
        <v>535</v>
      </c>
      <c r="K89" s="95">
        <v>1.0211</v>
      </c>
      <c r="L89" s="98">
        <v>88.48</v>
      </c>
      <c r="M89" s="99">
        <f aca="true" t="shared" si="6" ref="M89:M94">K89*L89</f>
        <v>90.34692799999999</v>
      </c>
    </row>
    <row r="90" spans="1:13" ht="15">
      <c r="A90" s="97" t="s">
        <v>435</v>
      </c>
      <c r="B90" s="95" t="s">
        <v>609</v>
      </c>
      <c r="C90" s="95" t="s">
        <v>42</v>
      </c>
      <c r="D90" s="95" t="s">
        <v>535</v>
      </c>
      <c r="E90" s="96">
        <v>149.792828</v>
      </c>
      <c r="F90" s="95" t="s">
        <v>558</v>
      </c>
      <c r="G90" s="95" t="s">
        <v>586</v>
      </c>
      <c r="H90" s="95" t="s">
        <v>587</v>
      </c>
      <c r="I90" s="95" t="s">
        <v>459</v>
      </c>
      <c r="J90" s="95" t="s">
        <v>542</v>
      </c>
      <c r="K90" s="95">
        <v>0.51</v>
      </c>
      <c r="L90" s="98">
        <v>19.53</v>
      </c>
      <c r="M90" s="99">
        <f t="shared" si="6"/>
        <v>9.9603</v>
      </c>
    </row>
    <row r="91" spans="1:13" ht="15">
      <c r="A91" s="97" t="s">
        <v>435</v>
      </c>
      <c r="B91" s="95" t="s">
        <v>609</v>
      </c>
      <c r="C91" s="95" t="s">
        <v>42</v>
      </c>
      <c r="D91" s="95" t="s">
        <v>535</v>
      </c>
      <c r="E91" s="96">
        <v>149.792828</v>
      </c>
      <c r="F91" s="95" t="s">
        <v>558</v>
      </c>
      <c r="G91" s="95" t="s">
        <v>588</v>
      </c>
      <c r="H91" s="95" t="s">
        <v>589</v>
      </c>
      <c r="I91" s="95" t="s">
        <v>459</v>
      </c>
      <c r="J91" s="95" t="s">
        <v>547</v>
      </c>
      <c r="K91" s="95">
        <v>0.51</v>
      </c>
      <c r="L91" s="98">
        <v>22.28</v>
      </c>
      <c r="M91" s="99">
        <f t="shared" si="6"/>
        <v>11.3628</v>
      </c>
    </row>
    <row r="92" spans="1:13" ht="15">
      <c r="A92" s="97" t="s">
        <v>435</v>
      </c>
      <c r="B92" s="95" t="s">
        <v>609</v>
      </c>
      <c r="C92" s="95" t="s">
        <v>42</v>
      </c>
      <c r="D92" s="95" t="s">
        <v>535</v>
      </c>
      <c r="E92" s="96">
        <v>149.792828</v>
      </c>
      <c r="F92" s="95" t="s">
        <v>536</v>
      </c>
      <c r="G92" s="95" t="s">
        <v>590</v>
      </c>
      <c r="H92" s="95" t="s">
        <v>591</v>
      </c>
      <c r="I92" s="95" t="s">
        <v>39</v>
      </c>
      <c r="J92" s="95" t="s">
        <v>535</v>
      </c>
      <c r="K92" s="95">
        <v>0.1</v>
      </c>
      <c r="L92" s="98">
        <v>333.94</v>
      </c>
      <c r="M92" s="99">
        <f t="shared" si="6"/>
        <v>33.394</v>
      </c>
    </row>
    <row r="93" spans="1:13" ht="15">
      <c r="A93" s="97" t="s">
        <v>435</v>
      </c>
      <c r="B93" s="95" t="s">
        <v>609</v>
      </c>
      <c r="C93" s="95" t="s">
        <v>42</v>
      </c>
      <c r="D93" s="95" t="s">
        <v>535</v>
      </c>
      <c r="E93" s="96">
        <v>149.792828</v>
      </c>
      <c r="F93" s="95" t="s">
        <v>536</v>
      </c>
      <c r="G93" s="95" t="s">
        <v>592</v>
      </c>
      <c r="H93" s="95" t="s">
        <v>593</v>
      </c>
      <c r="I93" s="95" t="s">
        <v>39</v>
      </c>
      <c r="J93" s="95" t="s">
        <v>542</v>
      </c>
      <c r="K93" s="95">
        <v>1</v>
      </c>
      <c r="L93" s="98">
        <v>2.28</v>
      </c>
      <c r="M93" s="99">
        <f t="shared" si="6"/>
        <v>2.28</v>
      </c>
    </row>
    <row r="94" spans="1:13" ht="15">
      <c r="A94" s="97" t="s">
        <v>435</v>
      </c>
      <c r="B94" s="95" t="s">
        <v>609</v>
      </c>
      <c r="C94" s="95" t="s">
        <v>42</v>
      </c>
      <c r="D94" s="95" t="s">
        <v>535</v>
      </c>
      <c r="E94" s="96">
        <v>149.792828</v>
      </c>
      <c r="F94" s="95" t="s">
        <v>536</v>
      </c>
      <c r="G94" s="95" t="s">
        <v>594</v>
      </c>
      <c r="H94" s="95" t="s">
        <v>595</v>
      </c>
      <c r="I94" s="95" t="s">
        <v>39</v>
      </c>
      <c r="J94" s="95" t="s">
        <v>535</v>
      </c>
      <c r="K94" s="95">
        <v>0.04</v>
      </c>
      <c r="L94" s="98">
        <v>61.22</v>
      </c>
      <c r="M94" s="99">
        <f t="shared" si="6"/>
        <v>2.4488</v>
      </c>
    </row>
    <row r="95" spans="1:13" ht="15">
      <c r="A95" s="97"/>
      <c r="B95" s="95"/>
      <c r="C95" s="95"/>
      <c r="D95" s="95"/>
      <c r="E95" s="95"/>
      <c r="F95" s="95"/>
      <c r="G95" s="95"/>
      <c r="H95" s="95"/>
      <c r="I95" s="95"/>
      <c r="J95" s="95"/>
      <c r="K95" s="95"/>
      <c r="L95" s="98"/>
      <c r="M95" s="99">
        <f>SUM(M89:M94)</f>
        <v>149.79282800000001</v>
      </c>
    </row>
    <row r="96" spans="1:13" ht="15">
      <c r="A96" s="100"/>
      <c r="B96" s="90"/>
      <c r="C96" s="90"/>
      <c r="D96" s="90"/>
      <c r="E96" s="90"/>
      <c r="F96" s="90"/>
      <c r="G96" s="90"/>
      <c r="H96" s="90"/>
      <c r="I96" s="90"/>
      <c r="J96" s="90"/>
      <c r="K96" s="90"/>
      <c r="L96" s="92"/>
      <c r="M96" s="92"/>
    </row>
    <row r="97" spans="1:13" ht="15">
      <c r="A97" s="100"/>
      <c r="B97" s="90"/>
      <c r="C97" s="90"/>
      <c r="D97" s="90"/>
      <c r="E97" s="90"/>
      <c r="F97" s="90"/>
      <c r="G97" s="90"/>
      <c r="H97" s="90"/>
      <c r="I97" s="90"/>
      <c r="J97" s="90"/>
      <c r="K97" s="90"/>
      <c r="L97" s="92"/>
      <c r="M97" s="93"/>
    </row>
    <row r="98" spans="1:13" ht="15">
      <c r="A98" s="97" t="s">
        <v>612</v>
      </c>
      <c r="B98" s="90" t="s">
        <v>613</v>
      </c>
      <c r="C98" s="95" t="s">
        <v>42</v>
      </c>
      <c r="D98" s="95" t="s">
        <v>535</v>
      </c>
      <c r="E98" s="96">
        <v>324.116442</v>
      </c>
      <c r="F98" s="95"/>
      <c r="G98" s="95"/>
      <c r="H98" s="95"/>
      <c r="I98" s="95"/>
      <c r="J98" s="95"/>
      <c r="K98" s="95"/>
      <c r="L98" s="98"/>
      <c r="M98" s="98"/>
    </row>
    <row r="99" spans="1:13" ht="15">
      <c r="A99" s="97" t="s">
        <v>612</v>
      </c>
      <c r="B99" s="90" t="s">
        <v>613</v>
      </c>
      <c r="C99" s="95" t="s">
        <v>42</v>
      </c>
      <c r="D99" s="95" t="s">
        <v>535</v>
      </c>
      <c r="E99" s="96">
        <v>324.116442</v>
      </c>
      <c r="F99" s="95" t="s">
        <v>536</v>
      </c>
      <c r="G99" s="95" t="s">
        <v>614</v>
      </c>
      <c r="H99" s="90" t="s">
        <v>615</v>
      </c>
      <c r="I99" s="95" t="s">
        <v>42</v>
      </c>
      <c r="J99" s="95" t="s">
        <v>535</v>
      </c>
      <c r="K99" s="95">
        <v>1.0211</v>
      </c>
      <c r="L99" s="98">
        <v>260.62</v>
      </c>
      <c r="M99" s="99">
        <f aca="true" t="shared" si="7" ref="M99:M104">K99*L99</f>
        <v>266.119082</v>
      </c>
    </row>
    <row r="100" spans="1:13" ht="15">
      <c r="A100" s="97" t="s">
        <v>612</v>
      </c>
      <c r="B100" s="90" t="s">
        <v>613</v>
      </c>
      <c r="C100" s="95" t="s">
        <v>42</v>
      </c>
      <c r="D100" s="95" t="s">
        <v>535</v>
      </c>
      <c r="E100" s="96">
        <v>324.116442</v>
      </c>
      <c r="F100" s="95" t="s">
        <v>558</v>
      </c>
      <c r="G100" s="95" t="s">
        <v>586</v>
      </c>
      <c r="H100" s="95" t="s">
        <v>587</v>
      </c>
      <c r="I100" s="95" t="s">
        <v>459</v>
      </c>
      <c r="J100" s="95" t="s">
        <v>542</v>
      </c>
      <c r="K100" s="95">
        <v>0.076</v>
      </c>
      <c r="L100" s="98">
        <v>19.53</v>
      </c>
      <c r="M100" s="99">
        <f t="shared" si="7"/>
        <v>1.48428</v>
      </c>
    </row>
    <row r="101" spans="1:13" ht="15">
      <c r="A101" s="97" t="s">
        <v>612</v>
      </c>
      <c r="B101" s="90" t="s">
        <v>613</v>
      </c>
      <c r="C101" s="95" t="s">
        <v>42</v>
      </c>
      <c r="D101" s="95" t="s">
        <v>535</v>
      </c>
      <c r="E101" s="96">
        <v>324.116442</v>
      </c>
      <c r="F101" s="95" t="s">
        <v>558</v>
      </c>
      <c r="G101" s="95" t="s">
        <v>588</v>
      </c>
      <c r="H101" s="95" t="s">
        <v>589</v>
      </c>
      <c r="I101" s="95" t="s">
        <v>459</v>
      </c>
      <c r="J101" s="95" t="s">
        <v>547</v>
      </c>
      <c r="K101" s="95">
        <v>0.076</v>
      </c>
      <c r="L101" s="98">
        <v>22.28</v>
      </c>
      <c r="M101" s="99">
        <f t="shared" si="7"/>
        <v>1.6932800000000001</v>
      </c>
    </row>
    <row r="102" spans="1:13" ht="15">
      <c r="A102" s="97" t="s">
        <v>612</v>
      </c>
      <c r="B102" s="90" t="s">
        <v>613</v>
      </c>
      <c r="C102" s="95" t="s">
        <v>42</v>
      </c>
      <c r="D102" s="95" t="s">
        <v>535</v>
      </c>
      <c r="E102" s="96">
        <v>324.116442</v>
      </c>
      <c r="F102" s="95" t="s">
        <v>536</v>
      </c>
      <c r="G102" s="95" t="s">
        <v>590</v>
      </c>
      <c r="H102" s="95" t="s">
        <v>591</v>
      </c>
      <c r="I102" s="95" t="s">
        <v>39</v>
      </c>
      <c r="J102" s="95" t="s">
        <v>535</v>
      </c>
      <c r="K102" s="95">
        <v>0.15</v>
      </c>
      <c r="L102" s="98">
        <v>333.94</v>
      </c>
      <c r="M102" s="99">
        <f t="shared" si="7"/>
        <v>50.091</v>
      </c>
    </row>
    <row r="103" spans="1:13" ht="15">
      <c r="A103" s="97" t="s">
        <v>612</v>
      </c>
      <c r="B103" s="90" t="s">
        <v>613</v>
      </c>
      <c r="C103" s="95" t="s">
        <v>42</v>
      </c>
      <c r="D103" s="95" t="s">
        <v>535</v>
      </c>
      <c r="E103" s="96">
        <v>324.116442</v>
      </c>
      <c r="F103" s="95" t="s">
        <v>536</v>
      </c>
      <c r="G103" s="95" t="s">
        <v>592</v>
      </c>
      <c r="H103" s="95" t="s">
        <v>593</v>
      </c>
      <c r="I103" s="95" t="s">
        <v>39</v>
      </c>
      <c r="J103" s="95" t="s">
        <v>542</v>
      </c>
      <c r="K103" s="95">
        <v>1</v>
      </c>
      <c r="L103" s="98">
        <v>2.28</v>
      </c>
      <c r="M103" s="99">
        <f t="shared" si="7"/>
        <v>2.28</v>
      </c>
    </row>
    <row r="104" spans="1:13" ht="15">
      <c r="A104" s="97" t="s">
        <v>612</v>
      </c>
      <c r="B104" s="90" t="s">
        <v>613</v>
      </c>
      <c r="C104" s="95" t="s">
        <v>42</v>
      </c>
      <c r="D104" s="95" t="s">
        <v>535</v>
      </c>
      <c r="E104" s="96">
        <v>324.116442</v>
      </c>
      <c r="F104" s="95" t="s">
        <v>536</v>
      </c>
      <c r="G104" s="95" t="s">
        <v>594</v>
      </c>
      <c r="H104" s="95" t="s">
        <v>595</v>
      </c>
      <c r="I104" s="95" t="s">
        <v>39</v>
      </c>
      <c r="J104" s="95" t="s">
        <v>535</v>
      </c>
      <c r="K104" s="95">
        <v>0.04</v>
      </c>
      <c r="L104" s="98">
        <v>61.22</v>
      </c>
      <c r="M104" s="99">
        <f t="shared" si="7"/>
        <v>2.4488</v>
      </c>
    </row>
    <row r="105" spans="1:13" ht="15">
      <c r="A105" s="97"/>
      <c r="B105" s="95"/>
      <c r="C105" s="95"/>
      <c r="D105" s="95"/>
      <c r="E105" s="95"/>
      <c r="F105" s="95"/>
      <c r="G105" s="95"/>
      <c r="H105" s="95"/>
      <c r="I105" s="95"/>
      <c r="J105" s="95"/>
      <c r="K105" s="95"/>
      <c r="L105" s="98"/>
      <c r="M105" s="99">
        <f>SUM(M99:M104)</f>
        <v>324.116442</v>
      </c>
    </row>
    <row r="108" spans="1:13" ht="15">
      <c r="A108" s="97" t="s">
        <v>137</v>
      </c>
      <c r="B108" s="90" t="s">
        <v>138</v>
      </c>
      <c r="C108" s="90" t="s">
        <v>39</v>
      </c>
      <c r="D108" s="95" t="s">
        <v>535</v>
      </c>
      <c r="E108" s="96"/>
      <c r="F108" s="95" t="s">
        <v>558</v>
      </c>
      <c r="G108" s="95" t="s">
        <v>616</v>
      </c>
      <c r="H108" s="95" t="s">
        <v>617</v>
      </c>
      <c r="I108" s="95" t="s">
        <v>17</v>
      </c>
      <c r="J108" s="95" t="s">
        <v>535</v>
      </c>
      <c r="K108" s="95">
        <v>1</v>
      </c>
      <c r="L108" s="98">
        <v>526.61</v>
      </c>
      <c r="M108" s="99">
        <f>+L108*K108</f>
        <v>526.61</v>
      </c>
    </row>
    <row r="112" spans="1:13" ht="15">
      <c r="A112" s="97" t="s">
        <v>192</v>
      </c>
      <c r="B112" t="s">
        <v>193</v>
      </c>
      <c r="C112" s="95" t="s">
        <v>42</v>
      </c>
      <c r="D112" s="95" t="s">
        <v>535</v>
      </c>
      <c r="E112" s="102">
        <v>1255.45382936</v>
      </c>
      <c r="F112" s="95" t="s">
        <v>536</v>
      </c>
      <c r="G112">
        <v>11687</v>
      </c>
      <c r="H112" t="s">
        <v>618</v>
      </c>
      <c r="I112" t="s">
        <v>42</v>
      </c>
      <c r="K112" s="95">
        <v>1</v>
      </c>
      <c r="L112" s="98">
        <v>692.03</v>
      </c>
      <c r="M112" s="99">
        <f aca="true" t="shared" si="8" ref="M112:M117">K112*L112</f>
        <v>692.03</v>
      </c>
    </row>
    <row r="113" spans="1:13" ht="15">
      <c r="A113" s="97" t="s">
        <v>192</v>
      </c>
      <c r="B113" t="s">
        <v>193</v>
      </c>
      <c r="C113" s="95" t="s">
        <v>42</v>
      </c>
      <c r="D113" s="95" t="s">
        <v>535</v>
      </c>
      <c r="E113" s="102">
        <v>1255.45382936</v>
      </c>
      <c r="F113" s="95" t="s">
        <v>558</v>
      </c>
      <c r="G113">
        <v>88267</v>
      </c>
      <c r="H113" t="s">
        <v>589</v>
      </c>
      <c r="I113" t="s">
        <v>459</v>
      </c>
      <c r="K113" s="95">
        <v>1</v>
      </c>
      <c r="L113" s="98">
        <v>17</v>
      </c>
      <c r="M113" s="99">
        <f t="shared" si="8"/>
        <v>17</v>
      </c>
    </row>
    <row r="114" spans="1:13" ht="15">
      <c r="A114" s="97" t="s">
        <v>192</v>
      </c>
      <c r="B114" t="s">
        <v>193</v>
      </c>
      <c r="C114" s="95" t="s">
        <v>42</v>
      </c>
      <c r="D114" s="95" t="s">
        <v>535</v>
      </c>
      <c r="E114" s="102">
        <v>1255.45382936</v>
      </c>
      <c r="F114" s="95" t="s">
        <v>558</v>
      </c>
      <c r="G114">
        <v>88316</v>
      </c>
      <c r="H114" t="s">
        <v>562</v>
      </c>
      <c r="I114" t="s">
        <v>459</v>
      </c>
      <c r="K114" s="95">
        <v>1</v>
      </c>
      <c r="L114" s="98">
        <v>14.12</v>
      </c>
      <c r="M114" s="99">
        <f t="shared" si="8"/>
        <v>14.12</v>
      </c>
    </row>
    <row r="115" spans="1:13" ht="15">
      <c r="A115" s="97" t="s">
        <v>192</v>
      </c>
      <c r="B115" t="s">
        <v>193</v>
      </c>
      <c r="C115" s="95" t="s">
        <v>42</v>
      </c>
      <c r="D115" s="95" t="s">
        <v>535</v>
      </c>
      <c r="E115" s="102">
        <v>1255.45382936</v>
      </c>
      <c r="F115" s="95" t="s">
        <v>536</v>
      </c>
      <c r="G115">
        <v>7696</v>
      </c>
      <c r="H115" t="s">
        <v>619</v>
      </c>
      <c r="I115" t="s">
        <v>42</v>
      </c>
      <c r="K115" s="95">
        <v>8.3</v>
      </c>
      <c r="L115" s="98">
        <v>44.4</v>
      </c>
      <c r="M115" s="99">
        <f t="shared" si="8"/>
        <v>368.52000000000004</v>
      </c>
    </row>
    <row r="116" spans="1:13" ht="15">
      <c r="A116" s="97" t="s">
        <v>192</v>
      </c>
      <c r="B116" t="s">
        <v>193</v>
      </c>
      <c r="C116" s="95" t="s">
        <v>42</v>
      </c>
      <c r="D116" s="95" t="s">
        <v>535</v>
      </c>
      <c r="E116" s="102">
        <v>1255.45382936</v>
      </c>
      <c r="F116" s="95" t="s">
        <v>558</v>
      </c>
      <c r="G116" t="s">
        <v>620</v>
      </c>
      <c r="H116" t="s">
        <v>621</v>
      </c>
      <c r="I116" t="s">
        <v>17</v>
      </c>
      <c r="K116" s="95">
        <f>(2*3.1416*0.025)*8.3</f>
        <v>1.3037640000000001</v>
      </c>
      <c r="L116" s="98">
        <v>21.74</v>
      </c>
      <c r="M116" s="99">
        <f t="shared" si="8"/>
        <v>28.34382936</v>
      </c>
    </row>
    <row r="117" spans="1:13" ht="15">
      <c r="A117" s="97" t="s">
        <v>192</v>
      </c>
      <c r="B117" t="s">
        <v>193</v>
      </c>
      <c r="C117" s="95" t="s">
        <v>42</v>
      </c>
      <c r="D117" s="95" t="s">
        <v>535</v>
      </c>
      <c r="E117" s="102">
        <v>1255.45382936</v>
      </c>
      <c r="F117" s="95" t="s">
        <v>558</v>
      </c>
      <c r="G117">
        <v>88315</v>
      </c>
      <c r="H117" t="s">
        <v>622</v>
      </c>
      <c r="I117" t="s">
        <v>459</v>
      </c>
      <c r="K117" s="95">
        <v>8</v>
      </c>
      <c r="L117" s="98">
        <v>16.93</v>
      </c>
      <c r="M117" s="99">
        <f t="shared" si="8"/>
        <v>135.44</v>
      </c>
    </row>
    <row r="118" spans="11:13" ht="15">
      <c r="K118" t="s">
        <v>623</v>
      </c>
      <c r="L118" s="98"/>
      <c r="M118" s="99">
        <f>SUM(M112:M117)</f>
        <v>1255.45382936</v>
      </c>
    </row>
  </sheetData>
  <printOptions/>
  <pageMargins left="0.511805555555555" right="0.511805555555555" top="0.7875" bottom="0.7875" header="0.511805555555555" footer="0.51180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O342"/>
  <sheetViews>
    <sheetView workbookViewId="0" topLeftCell="A327">
      <selection activeCell="B330" sqref="B330"/>
    </sheetView>
  </sheetViews>
  <sheetFormatPr defaultColWidth="9.140625" defaultRowHeight="15"/>
  <cols>
    <col min="1" max="1" width="8.7109375" style="103" customWidth="1"/>
    <col min="2" max="2" width="14.28125" style="103" customWidth="1"/>
    <col min="3" max="3" width="31.140625" style="103" customWidth="1"/>
    <col min="4" max="4" width="8.7109375" style="103" customWidth="1"/>
    <col min="5" max="5" width="7.7109375" style="103" customWidth="1"/>
    <col min="6" max="8" width="8.7109375" style="103" customWidth="1"/>
    <col min="9" max="9" width="28.57421875" style="103" customWidth="1"/>
    <col min="10" max="1025" width="8.7109375" style="103" customWidth="1"/>
  </cols>
  <sheetData>
    <row r="1" ht="15">
      <c r="O1" s="104" t="e">
        <f>SUM(#REF!)</f>
        <v>#REF!</v>
      </c>
    </row>
    <row r="2" spans="1:14" ht="15" customHeight="1">
      <c r="A2" s="3" t="s">
        <v>624</v>
      </c>
      <c r="B2" s="3"/>
      <c r="C2" s="3"/>
      <c r="D2" s="3"/>
      <c r="E2" s="3"/>
      <c r="F2" s="3"/>
      <c r="G2" s="3"/>
      <c r="H2" s="3"/>
      <c r="I2" s="3"/>
      <c r="J2" s="3"/>
      <c r="K2" s="3"/>
      <c r="L2" s="3"/>
      <c r="M2" s="3"/>
      <c r="N2" s="3"/>
    </row>
    <row r="3" spans="1:14" ht="15">
      <c r="A3" s="105"/>
      <c r="B3" s="106" t="s">
        <v>625</v>
      </c>
      <c r="C3" s="107" t="s">
        <v>626</v>
      </c>
      <c r="D3" s="106" t="s">
        <v>39</v>
      </c>
      <c r="E3" s="106" t="s">
        <v>627</v>
      </c>
      <c r="F3" s="106" t="s">
        <v>628</v>
      </c>
      <c r="G3" s="107" t="s">
        <v>629</v>
      </c>
      <c r="H3" s="106" t="s">
        <v>625</v>
      </c>
      <c r="I3" s="107" t="s">
        <v>626</v>
      </c>
      <c r="J3" s="106" t="s">
        <v>39</v>
      </c>
      <c r="K3" s="106" t="s">
        <v>627</v>
      </c>
      <c r="L3" s="106" t="s">
        <v>630</v>
      </c>
      <c r="M3" s="106" t="s">
        <v>631</v>
      </c>
      <c r="N3" s="106" t="s">
        <v>632</v>
      </c>
    </row>
    <row r="4" spans="1:14" ht="63.75">
      <c r="A4" s="108"/>
      <c r="B4" s="109" t="s">
        <v>221</v>
      </c>
      <c r="C4" s="110" t="s">
        <v>222</v>
      </c>
      <c r="D4" s="111" t="s">
        <v>42</v>
      </c>
      <c r="E4" s="109" t="s">
        <v>542</v>
      </c>
      <c r="F4" s="104">
        <f aca="true" t="shared" si="0" ref="F4:F10">N$11</f>
        <v>95.06244415000002</v>
      </c>
      <c r="G4" s="112"/>
      <c r="H4" s="108"/>
      <c r="I4" s="112"/>
      <c r="J4" s="113"/>
      <c r="K4" s="108"/>
      <c r="L4" s="113"/>
      <c r="M4" s="113"/>
      <c r="N4" s="114"/>
    </row>
    <row r="5" spans="1:14" ht="63.75">
      <c r="A5" s="108"/>
      <c r="B5" s="109" t="s">
        <v>221</v>
      </c>
      <c r="C5" s="110" t="s">
        <v>222</v>
      </c>
      <c r="D5" s="111" t="s">
        <v>42</v>
      </c>
      <c r="E5" s="109" t="s">
        <v>542</v>
      </c>
      <c r="F5" s="104">
        <f t="shared" si="0"/>
        <v>95.06244415000002</v>
      </c>
      <c r="G5" s="109" t="s">
        <v>536</v>
      </c>
      <c r="H5" s="111" t="s">
        <v>633</v>
      </c>
      <c r="I5" s="109" t="s">
        <v>634</v>
      </c>
      <c r="J5" s="109" t="s">
        <v>42</v>
      </c>
      <c r="K5" s="109" t="s">
        <v>633</v>
      </c>
      <c r="L5" s="111">
        <v>0.936</v>
      </c>
      <c r="M5" s="104">
        <v>36.67</v>
      </c>
      <c r="N5" s="104">
        <f aca="true" t="shared" si="1" ref="N5:N10">L5*M5</f>
        <v>34.32312</v>
      </c>
    </row>
    <row r="6" spans="1:14" ht="89.25">
      <c r="A6" s="108"/>
      <c r="B6" s="109" t="s">
        <v>221</v>
      </c>
      <c r="C6" s="110" t="s">
        <v>222</v>
      </c>
      <c r="D6" s="111" t="s">
        <v>42</v>
      </c>
      <c r="E6" s="109" t="s">
        <v>542</v>
      </c>
      <c r="F6" s="104">
        <f t="shared" si="0"/>
        <v>95.06244415000002</v>
      </c>
      <c r="G6" s="109" t="s">
        <v>558</v>
      </c>
      <c r="H6" s="111" t="s">
        <v>635</v>
      </c>
      <c r="I6" s="109" t="s">
        <v>636</v>
      </c>
      <c r="J6" s="109" t="s">
        <v>39</v>
      </c>
      <c r="K6" s="109" t="s">
        <v>633</v>
      </c>
      <c r="L6" s="111">
        <v>0.333</v>
      </c>
      <c r="M6" s="104">
        <f>F13</f>
        <v>70.37755000000001</v>
      </c>
      <c r="N6" s="104">
        <f t="shared" si="1"/>
        <v>23.435724150000006</v>
      </c>
    </row>
    <row r="7" spans="1:14" ht="76.5">
      <c r="A7" s="108"/>
      <c r="B7" s="109" t="s">
        <v>221</v>
      </c>
      <c r="C7" s="110" t="s">
        <v>222</v>
      </c>
      <c r="D7" s="111" t="s">
        <v>42</v>
      </c>
      <c r="E7" s="109" t="s">
        <v>542</v>
      </c>
      <c r="F7" s="104">
        <f t="shared" si="0"/>
        <v>95.06244415000002</v>
      </c>
      <c r="G7" s="109" t="s">
        <v>536</v>
      </c>
      <c r="H7" s="111">
        <v>39029</v>
      </c>
      <c r="I7" s="109" t="s">
        <v>637</v>
      </c>
      <c r="J7" s="109" t="s">
        <v>42</v>
      </c>
      <c r="K7" s="109" t="s">
        <v>633</v>
      </c>
      <c r="L7" s="111">
        <v>1</v>
      </c>
      <c r="M7" s="104">
        <v>25.78</v>
      </c>
      <c r="N7" s="104">
        <f t="shared" si="1"/>
        <v>25.78</v>
      </c>
    </row>
    <row r="8" spans="1:14" ht="63.75">
      <c r="A8" s="108"/>
      <c r="B8" s="109" t="s">
        <v>221</v>
      </c>
      <c r="C8" s="110" t="s">
        <v>222</v>
      </c>
      <c r="D8" s="111" t="s">
        <v>42</v>
      </c>
      <c r="E8" s="109" t="s">
        <v>542</v>
      </c>
      <c r="F8" s="104">
        <f t="shared" si="0"/>
        <v>95.06244415000002</v>
      </c>
      <c r="G8" s="109" t="s">
        <v>536</v>
      </c>
      <c r="H8" s="111"/>
      <c r="I8" s="109" t="s">
        <v>638</v>
      </c>
      <c r="J8" s="109" t="s">
        <v>42</v>
      </c>
      <c r="K8" s="109" t="s">
        <v>633</v>
      </c>
      <c r="L8" s="111">
        <v>0</v>
      </c>
      <c r="M8" s="104">
        <v>0</v>
      </c>
      <c r="N8" s="104">
        <f t="shared" si="1"/>
        <v>0</v>
      </c>
    </row>
    <row r="9" spans="1:14" ht="63.75">
      <c r="A9" s="108"/>
      <c r="B9" s="109" t="s">
        <v>221</v>
      </c>
      <c r="C9" s="110" t="s">
        <v>222</v>
      </c>
      <c r="D9" s="111" t="s">
        <v>42</v>
      </c>
      <c r="E9" s="109" t="s">
        <v>542</v>
      </c>
      <c r="F9" s="104">
        <f t="shared" si="0"/>
        <v>95.06244415000002</v>
      </c>
      <c r="G9" s="109" t="s">
        <v>639</v>
      </c>
      <c r="H9" s="111">
        <v>88247</v>
      </c>
      <c r="I9" s="109" t="s">
        <v>640</v>
      </c>
      <c r="J9" s="109" t="s">
        <v>459</v>
      </c>
      <c r="K9" s="109" t="s">
        <v>547</v>
      </c>
      <c r="L9" s="111">
        <v>0.264</v>
      </c>
      <c r="M9" s="111">
        <v>20.42</v>
      </c>
      <c r="N9" s="104">
        <f t="shared" si="1"/>
        <v>5.390880000000001</v>
      </c>
    </row>
    <row r="10" spans="1:14" ht="63.75">
      <c r="A10" s="108"/>
      <c r="B10" s="109" t="s">
        <v>221</v>
      </c>
      <c r="C10" s="110" t="s">
        <v>222</v>
      </c>
      <c r="D10" s="111" t="s">
        <v>42</v>
      </c>
      <c r="E10" s="109" t="s">
        <v>542</v>
      </c>
      <c r="F10" s="104">
        <f t="shared" si="0"/>
        <v>95.06244415000002</v>
      </c>
      <c r="G10" s="109" t="s">
        <v>639</v>
      </c>
      <c r="H10" s="111">
        <v>88264</v>
      </c>
      <c r="I10" s="109" t="s">
        <v>641</v>
      </c>
      <c r="J10" s="109" t="s">
        <v>459</v>
      </c>
      <c r="K10" s="109" t="s">
        <v>547</v>
      </c>
      <c r="L10" s="111">
        <v>0.264</v>
      </c>
      <c r="M10" s="111">
        <v>23.23</v>
      </c>
      <c r="N10" s="104">
        <f t="shared" si="1"/>
        <v>6.132720000000001</v>
      </c>
    </row>
    <row r="11" spans="1:14" ht="15">
      <c r="A11" s="108"/>
      <c r="B11" s="108"/>
      <c r="C11" s="115"/>
      <c r="D11" s="108"/>
      <c r="E11" s="108"/>
      <c r="F11" s="108"/>
      <c r="G11" s="112"/>
      <c r="H11" s="108"/>
      <c r="I11" s="112"/>
      <c r="J11" s="113"/>
      <c r="K11" s="108"/>
      <c r="L11" s="113"/>
      <c r="M11" s="113"/>
      <c r="N11" s="104">
        <f>SUM(N5:N10)</f>
        <v>95.06244415000002</v>
      </c>
    </row>
    <row r="12" spans="1:14" ht="15">
      <c r="A12" s="108"/>
      <c r="B12" s="108"/>
      <c r="C12" s="115"/>
      <c r="D12" s="108"/>
      <c r="E12" s="108"/>
      <c r="F12" s="108"/>
      <c r="G12" s="112"/>
      <c r="H12" s="108"/>
      <c r="I12" s="112"/>
      <c r="J12" s="113"/>
      <c r="K12" s="108"/>
      <c r="L12" s="113"/>
      <c r="M12" s="113"/>
      <c r="N12" s="104"/>
    </row>
    <row r="13" spans="1:14" ht="63.75">
      <c r="A13" s="108"/>
      <c r="B13" s="109" t="s">
        <v>642</v>
      </c>
      <c r="C13" s="110" t="s">
        <v>643</v>
      </c>
      <c r="D13" s="111" t="s">
        <v>39</v>
      </c>
      <c r="E13" s="109" t="s">
        <v>542</v>
      </c>
      <c r="F13" s="104">
        <f aca="true" t="shared" si="2" ref="F13:F20">N$21</f>
        <v>70.37755000000001</v>
      </c>
      <c r="G13" s="112"/>
      <c r="H13" s="108"/>
      <c r="I13" s="112"/>
      <c r="J13" s="113"/>
      <c r="K13" s="108"/>
      <c r="L13" s="113"/>
      <c r="M13" s="113"/>
      <c r="N13" s="114"/>
    </row>
    <row r="14" spans="1:14" ht="76.5">
      <c r="A14" s="108"/>
      <c r="B14" s="109" t="s">
        <v>642</v>
      </c>
      <c r="C14" s="110" t="s">
        <v>643</v>
      </c>
      <c r="D14" s="111" t="s">
        <v>39</v>
      </c>
      <c r="E14" s="109" t="s">
        <v>542</v>
      </c>
      <c r="F14" s="104">
        <f t="shared" si="2"/>
        <v>70.37755000000001</v>
      </c>
      <c r="G14" s="109" t="s">
        <v>536</v>
      </c>
      <c r="H14" s="111" t="s">
        <v>633</v>
      </c>
      <c r="I14" s="109" t="s">
        <v>644</v>
      </c>
      <c r="J14" s="109" t="s">
        <v>39</v>
      </c>
      <c r="K14" s="109" t="s">
        <v>633</v>
      </c>
      <c r="L14" s="111">
        <v>1</v>
      </c>
      <c r="M14" s="104">
        <v>14.63</v>
      </c>
      <c r="N14" s="104">
        <f aca="true" t="shared" si="3" ref="N14:N20">L14*M14</f>
        <v>14.63</v>
      </c>
    </row>
    <row r="15" spans="1:14" ht="63.75">
      <c r="A15" s="108"/>
      <c r="B15" s="109" t="s">
        <v>642</v>
      </c>
      <c r="C15" s="110" t="s">
        <v>643</v>
      </c>
      <c r="D15" s="111" t="s">
        <v>39</v>
      </c>
      <c r="E15" s="109" t="s">
        <v>542</v>
      </c>
      <c r="F15" s="104">
        <f t="shared" si="2"/>
        <v>70.37755000000001</v>
      </c>
      <c r="G15" s="109" t="s">
        <v>536</v>
      </c>
      <c r="H15" s="111" t="s">
        <v>633</v>
      </c>
      <c r="I15" s="109" t="s">
        <v>645</v>
      </c>
      <c r="J15" s="109" t="s">
        <v>39</v>
      </c>
      <c r="K15" s="109" t="s">
        <v>633</v>
      </c>
      <c r="L15" s="111">
        <v>4</v>
      </c>
      <c r="M15" s="104">
        <v>1.76</v>
      </c>
      <c r="N15" s="104">
        <f t="shared" si="3"/>
        <v>7.04</v>
      </c>
    </row>
    <row r="16" spans="1:14" ht="63.75">
      <c r="A16" s="108"/>
      <c r="B16" s="109" t="s">
        <v>642</v>
      </c>
      <c r="C16" s="110" t="s">
        <v>643</v>
      </c>
      <c r="D16" s="111" t="s">
        <v>39</v>
      </c>
      <c r="E16" s="109" t="s">
        <v>542</v>
      </c>
      <c r="F16" s="104">
        <f t="shared" si="2"/>
        <v>70.37755000000001</v>
      </c>
      <c r="G16" s="109" t="s">
        <v>536</v>
      </c>
      <c r="H16" s="111"/>
      <c r="I16" s="109" t="s">
        <v>646</v>
      </c>
      <c r="J16" s="109" t="s">
        <v>39</v>
      </c>
      <c r="K16" s="109" t="s">
        <v>633</v>
      </c>
      <c r="L16" s="111">
        <v>16.8</v>
      </c>
      <c r="M16" s="104">
        <v>0.53</v>
      </c>
      <c r="N16" s="104">
        <f t="shared" si="3"/>
        <v>8.904000000000002</v>
      </c>
    </row>
    <row r="17" spans="1:14" ht="63.75">
      <c r="A17" s="108"/>
      <c r="B17" s="109" t="s">
        <v>642</v>
      </c>
      <c r="C17" s="110" t="s">
        <v>643</v>
      </c>
      <c r="D17" s="111" t="s">
        <v>39</v>
      </c>
      <c r="E17" s="109" t="s">
        <v>542</v>
      </c>
      <c r="F17" s="104">
        <f t="shared" si="2"/>
        <v>70.37755000000001</v>
      </c>
      <c r="G17" s="109" t="s">
        <v>536</v>
      </c>
      <c r="H17" s="111"/>
      <c r="I17" s="109" t="s">
        <v>647</v>
      </c>
      <c r="J17" s="109" t="s">
        <v>39</v>
      </c>
      <c r="K17" s="109" t="s">
        <v>633</v>
      </c>
      <c r="L17" s="111">
        <v>16.8</v>
      </c>
      <c r="M17" s="104">
        <v>0.8</v>
      </c>
      <c r="N17" s="104">
        <f t="shared" si="3"/>
        <v>13.440000000000001</v>
      </c>
    </row>
    <row r="18" spans="1:14" ht="63.75">
      <c r="A18" s="108"/>
      <c r="B18" s="109" t="s">
        <v>642</v>
      </c>
      <c r="C18" s="110" t="s">
        <v>643</v>
      </c>
      <c r="D18" s="111" t="s">
        <v>39</v>
      </c>
      <c r="E18" s="109" t="s">
        <v>542</v>
      </c>
      <c r="F18" s="104">
        <f t="shared" si="2"/>
        <v>70.37755000000001</v>
      </c>
      <c r="G18" s="109" t="s">
        <v>536</v>
      </c>
      <c r="H18" s="111"/>
      <c r="I18" s="109" t="s">
        <v>648</v>
      </c>
      <c r="J18" s="109" t="s">
        <v>39</v>
      </c>
      <c r="K18" s="109" t="s">
        <v>633</v>
      </c>
      <c r="L18" s="111">
        <v>16.8</v>
      </c>
      <c r="M18" s="104">
        <v>0.2</v>
      </c>
      <c r="N18" s="104">
        <f t="shared" si="3"/>
        <v>3.3600000000000003</v>
      </c>
    </row>
    <row r="19" spans="1:14" ht="63.75">
      <c r="A19" s="108"/>
      <c r="B19" s="109" t="s">
        <v>642</v>
      </c>
      <c r="C19" s="110" t="s">
        <v>643</v>
      </c>
      <c r="D19" s="111" t="s">
        <v>39</v>
      </c>
      <c r="E19" s="109" t="s">
        <v>542</v>
      </c>
      <c r="F19" s="104">
        <f t="shared" si="2"/>
        <v>70.37755000000001</v>
      </c>
      <c r="G19" s="109" t="s">
        <v>639</v>
      </c>
      <c r="H19" s="111">
        <v>88247</v>
      </c>
      <c r="I19" s="109" t="s">
        <v>640</v>
      </c>
      <c r="J19" s="109" t="s">
        <v>459</v>
      </c>
      <c r="K19" s="109" t="s">
        <v>547</v>
      </c>
      <c r="L19" s="111">
        <v>0.527</v>
      </c>
      <c r="M19" s="111">
        <v>20.42</v>
      </c>
      <c r="N19" s="104">
        <f t="shared" si="3"/>
        <v>10.76134</v>
      </c>
    </row>
    <row r="20" spans="1:14" ht="63.75">
      <c r="A20" s="108"/>
      <c r="B20" s="109" t="s">
        <v>642</v>
      </c>
      <c r="C20" s="110" t="s">
        <v>643</v>
      </c>
      <c r="D20" s="111" t="s">
        <v>39</v>
      </c>
      <c r="E20" s="109" t="s">
        <v>542</v>
      </c>
      <c r="F20" s="104">
        <f t="shared" si="2"/>
        <v>70.37755000000001</v>
      </c>
      <c r="G20" s="109" t="s">
        <v>639</v>
      </c>
      <c r="H20" s="111">
        <v>88264</v>
      </c>
      <c r="I20" s="109" t="s">
        <v>641</v>
      </c>
      <c r="J20" s="109" t="s">
        <v>459</v>
      </c>
      <c r="K20" s="109" t="s">
        <v>547</v>
      </c>
      <c r="L20" s="111">
        <v>0.527</v>
      </c>
      <c r="M20" s="111">
        <v>23.23</v>
      </c>
      <c r="N20" s="104">
        <f t="shared" si="3"/>
        <v>12.24221</v>
      </c>
    </row>
    <row r="21" spans="1:14" ht="15">
      <c r="A21" s="108"/>
      <c r="B21" s="108"/>
      <c r="C21" s="115"/>
      <c r="D21" s="108"/>
      <c r="E21" s="108"/>
      <c r="F21" s="108"/>
      <c r="G21" s="112"/>
      <c r="H21" s="108"/>
      <c r="I21" s="112"/>
      <c r="J21" s="113"/>
      <c r="K21" s="108"/>
      <c r="L21" s="113"/>
      <c r="M21" s="113"/>
      <c r="N21" s="104">
        <f>SUM(N14:N20)</f>
        <v>70.37755000000001</v>
      </c>
    </row>
    <row r="23" spans="2:14" ht="63.75">
      <c r="B23" s="109" t="s">
        <v>224</v>
      </c>
      <c r="C23" s="110" t="s">
        <v>225</v>
      </c>
      <c r="D23" s="111" t="s">
        <v>42</v>
      </c>
      <c r="E23" s="109" t="s">
        <v>542</v>
      </c>
      <c r="F23" s="104">
        <f aca="true" t="shared" si="4" ref="F23:F29">N$30</f>
        <v>123.59172415000002</v>
      </c>
      <c r="G23" s="112"/>
      <c r="H23" s="108"/>
      <c r="I23" s="112"/>
      <c r="J23" s="113"/>
      <c r="K23" s="108"/>
      <c r="L23" s="113"/>
      <c r="M23" s="113"/>
      <c r="N23" s="114"/>
    </row>
    <row r="24" spans="2:14" ht="63.75">
      <c r="B24" s="109" t="s">
        <v>224</v>
      </c>
      <c r="C24" s="110" t="s">
        <v>225</v>
      </c>
      <c r="D24" s="111" t="s">
        <v>42</v>
      </c>
      <c r="E24" s="109" t="s">
        <v>542</v>
      </c>
      <c r="F24" s="104">
        <f t="shared" si="4"/>
        <v>123.59172415000002</v>
      </c>
      <c r="G24" s="109" t="s">
        <v>536</v>
      </c>
      <c r="H24" s="111" t="s">
        <v>633</v>
      </c>
      <c r="I24" s="109" t="s">
        <v>649</v>
      </c>
      <c r="J24" s="109" t="s">
        <v>42</v>
      </c>
      <c r="K24" s="109" t="s">
        <v>633</v>
      </c>
      <c r="L24" s="111">
        <v>0.936</v>
      </c>
      <c r="M24" s="104">
        <v>67.15</v>
      </c>
      <c r="N24" s="104">
        <f aca="true" t="shared" si="5" ref="N24:N29">L24*M24</f>
        <v>62.85240000000001</v>
      </c>
    </row>
    <row r="25" spans="2:14" ht="89.25">
      <c r="B25" s="109" t="s">
        <v>224</v>
      </c>
      <c r="C25" s="110" t="s">
        <v>225</v>
      </c>
      <c r="D25" s="111" t="s">
        <v>42</v>
      </c>
      <c r="E25" s="109" t="s">
        <v>542</v>
      </c>
      <c r="F25" s="104">
        <f t="shared" si="4"/>
        <v>123.59172415000002</v>
      </c>
      <c r="G25" s="109" t="s">
        <v>558</v>
      </c>
      <c r="H25" s="111" t="s">
        <v>635</v>
      </c>
      <c r="I25" s="109" t="s">
        <v>636</v>
      </c>
      <c r="J25" s="109" t="s">
        <v>39</v>
      </c>
      <c r="K25" s="109" t="s">
        <v>633</v>
      </c>
      <c r="L25" s="111">
        <v>0.333</v>
      </c>
      <c r="M25" s="104">
        <f>F32</f>
        <v>70.37755000000001</v>
      </c>
      <c r="N25" s="104">
        <f t="shared" si="5"/>
        <v>23.435724150000006</v>
      </c>
    </row>
    <row r="26" spans="2:14" ht="76.5">
      <c r="B26" s="109" t="s">
        <v>224</v>
      </c>
      <c r="C26" s="110" t="s">
        <v>225</v>
      </c>
      <c r="D26" s="111" t="s">
        <v>42</v>
      </c>
      <c r="E26" s="109" t="s">
        <v>542</v>
      </c>
      <c r="F26" s="104">
        <f t="shared" si="4"/>
        <v>123.59172415000002</v>
      </c>
      <c r="G26" s="109" t="s">
        <v>536</v>
      </c>
      <c r="H26" s="111">
        <v>39029</v>
      </c>
      <c r="I26" s="109" t="s">
        <v>650</v>
      </c>
      <c r="J26" s="109" t="s">
        <v>42</v>
      </c>
      <c r="K26" s="109" t="s">
        <v>633</v>
      </c>
      <c r="L26" s="111">
        <v>1</v>
      </c>
      <c r="M26" s="104">
        <v>25.78</v>
      </c>
      <c r="N26" s="104">
        <f t="shared" si="5"/>
        <v>25.78</v>
      </c>
    </row>
    <row r="27" spans="2:14" ht="63.75">
      <c r="B27" s="109" t="s">
        <v>224</v>
      </c>
      <c r="C27" s="110" t="s">
        <v>225</v>
      </c>
      <c r="D27" s="111" t="s">
        <v>42</v>
      </c>
      <c r="E27" s="109" t="s">
        <v>542</v>
      </c>
      <c r="F27" s="104">
        <f t="shared" si="4"/>
        <v>123.59172415000002</v>
      </c>
      <c r="G27" s="109" t="s">
        <v>536</v>
      </c>
      <c r="H27" s="111"/>
      <c r="I27" s="109" t="s">
        <v>638</v>
      </c>
      <c r="J27" s="109" t="s">
        <v>42</v>
      </c>
      <c r="K27" s="109" t="s">
        <v>633</v>
      </c>
      <c r="L27" s="111">
        <v>0</v>
      </c>
      <c r="M27" s="104">
        <v>0</v>
      </c>
      <c r="N27" s="104">
        <f t="shared" si="5"/>
        <v>0</v>
      </c>
    </row>
    <row r="28" spans="2:14" ht="63.75">
      <c r="B28" s="109" t="s">
        <v>224</v>
      </c>
      <c r="C28" s="110" t="s">
        <v>225</v>
      </c>
      <c r="D28" s="111" t="s">
        <v>42</v>
      </c>
      <c r="E28" s="109" t="s">
        <v>542</v>
      </c>
      <c r="F28" s="104">
        <f t="shared" si="4"/>
        <v>123.59172415000002</v>
      </c>
      <c r="G28" s="109" t="s">
        <v>639</v>
      </c>
      <c r="H28" s="111">
        <v>88247</v>
      </c>
      <c r="I28" s="109" t="s">
        <v>640</v>
      </c>
      <c r="J28" s="109" t="s">
        <v>459</v>
      </c>
      <c r="K28" s="109" t="s">
        <v>547</v>
      </c>
      <c r="L28" s="111">
        <v>0.264</v>
      </c>
      <c r="M28" s="111">
        <v>20.42</v>
      </c>
      <c r="N28" s="104">
        <f t="shared" si="5"/>
        <v>5.390880000000001</v>
      </c>
    </row>
    <row r="29" spans="2:14" ht="63.75">
      <c r="B29" s="109" t="s">
        <v>224</v>
      </c>
      <c r="C29" s="110" t="s">
        <v>225</v>
      </c>
      <c r="D29" s="111" t="s">
        <v>42</v>
      </c>
      <c r="E29" s="109" t="s">
        <v>542</v>
      </c>
      <c r="F29" s="104">
        <f t="shared" si="4"/>
        <v>123.59172415000002</v>
      </c>
      <c r="G29" s="109" t="s">
        <v>639</v>
      </c>
      <c r="H29" s="111">
        <v>88264</v>
      </c>
      <c r="I29" s="109" t="s">
        <v>641</v>
      </c>
      <c r="J29" s="109" t="s">
        <v>459</v>
      </c>
      <c r="K29" s="109" t="s">
        <v>547</v>
      </c>
      <c r="L29" s="111">
        <v>0.264</v>
      </c>
      <c r="M29" s="111">
        <v>23.23</v>
      </c>
      <c r="N29" s="104">
        <f t="shared" si="5"/>
        <v>6.132720000000001</v>
      </c>
    </row>
    <row r="30" spans="2:14" ht="15">
      <c r="B30" s="108"/>
      <c r="C30" s="115"/>
      <c r="D30" s="108"/>
      <c r="E30" s="108"/>
      <c r="F30" s="108"/>
      <c r="G30" s="112"/>
      <c r="H30" s="108"/>
      <c r="I30" s="112"/>
      <c r="J30" s="113"/>
      <c r="K30" s="108"/>
      <c r="L30" s="113"/>
      <c r="M30" s="113"/>
      <c r="N30" s="104">
        <f>SUM(N24:N29)</f>
        <v>123.59172415000002</v>
      </c>
    </row>
    <row r="31" spans="2:14" ht="15">
      <c r="B31" s="108"/>
      <c r="C31" s="115"/>
      <c r="D31" s="108"/>
      <c r="E31" s="108"/>
      <c r="F31" s="108"/>
      <c r="G31" s="112"/>
      <c r="H31" s="108"/>
      <c r="I31" s="112"/>
      <c r="J31" s="113"/>
      <c r="K31" s="108"/>
      <c r="L31" s="113"/>
      <c r="M31" s="113"/>
      <c r="N31" s="104"/>
    </row>
    <row r="32" spans="2:14" ht="63.75">
      <c r="B32" s="109" t="s">
        <v>642</v>
      </c>
      <c r="C32" s="110" t="s">
        <v>651</v>
      </c>
      <c r="D32" s="111" t="s">
        <v>39</v>
      </c>
      <c r="E32" s="109" t="s">
        <v>542</v>
      </c>
      <c r="F32" s="104">
        <f aca="true" t="shared" si="6" ref="F32:F39">N$40</f>
        <v>70.37755000000001</v>
      </c>
      <c r="G32" s="112"/>
      <c r="H32" s="108"/>
      <c r="I32" s="112"/>
      <c r="J32" s="113"/>
      <c r="K32" s="108"/>
      <c r="L32" s="113"/>
      <c r="M32" s="113"/>
      <c r="N32" s="114"/>
    </row>
    <row r="33" spans="2:14" ht="76.5">
      <c r="B33" s="109" t="s">
        <v>642</v>
      </c>
      <c r="C33" s="110" t="s">
        <v>651</v>
      </c>
      <c r="D33" s="111" t="s">
        <v>39</v>
      </c>
      <c r="E33" s="109" t="s">
        <v>542</v>
      </c>
      <c r="F33" s="104">
        <f t="shared" si="6"/>
        <v>70.37755000000001</v>
      </c>
      <c r="G33" s="109" t="s">
        <v>536</v>
      </c>
      <c r="H33" s="111" t="s">
        <v>633</v>
      </c>
      <c r="I33" s="110" t="s">
        <v>651</v>
      </c>
      <c r="J33" s="109" t="s">
        <v>39</v>
      </c>
      <c r="K33" s="109" t="s">
        <v>633</v>
      </c>
      <c r="L33" s="111">
        <v>1</v>
      </c>
      <c r="M33" s="104">
        <v>14.63</v>
      </c>
      <c r="N33" s="104">
        <f aca="true" t="shared" si="7" ref="N33:N39">L33*M33</f>
        <v>14.63</v>
      </c>
    </row>
    <row r="34" spans="2:14" ht="63.75">
      <c r="B34" s="109" t="s">
        <v>642</v>
      </c>
      <c r="C34" s="110" t="s">
        <v>651</v>
      </c>
      <c r="D34" s="111" t="s">
        <v>39</v>
      </c>
      <c r="E34" s="109" t="s">
        <v>542</v>
      </c>
      <c r="F34" s="104">
        <f t="shared" si="6"/>
        <v>70.37755000000001</v>
      </c>
      <c r="G34" s="109" t="s">
        <v>536</v>
      </c>
      <c r="H34" s="111" t="s">
        <v>633</v>
      </c>
      <c r="I34" s="109" t="s">
        <v>652</v>
      </c>
      <c r="J34" s="109" t="s">
        <v>39</v>
      </c>
      <c r="K34" s="109" t="s">
        <v>633</v>
      </c>
      <c r="L34" s="111">
        <v>4</v>
      </c>
      <c r="M34" s="104">
        <v>1.76</v>
      </c>
      <c r="N34" s="104">
        <f t="shared" si="7"/>
        <v>7.04</v>
      </c>
    </row>
    <row r="35" spans="2:14" ht="63.75">
      <c r="B35" s="109" t="s">
        <v>642</v>
      </c>
      <c r="C35" s="110" t="s">
        <v>651</v>
      </c>
      <c r="D35" s="111" t="s">
        <v>39</v>
      </c>
      <c r="E35" s="109" t="s">
        <v>542</v>
      </c>
      <c r="F35" s="104">
        <f t="shared" si="6"/>
        <v>70.37755000000001</v>
      </c>
      <c r="G35" s="109" t="s">
        <v>536</v>
      </c>
      <c r="H35" s="111"/>
      <c r="I35" s="109" t="s">
        <v>646</v>
      </c>
      <c r="J35" s="109" t="s">
        <v>39</v>
      </c>
      <c r="K35" s="109" t="s">
        <v>633</v>
      </c>
      <c r="L35" s="111">
        <v>16.8</v>
      </c>
      <c r="M35" s="104">
        <v>0.53</v>
      </c>
      <c r="N35" s="104">
        <f t="shared" si="7"/>
        <v>8.904000000000002</v>
      </c>
    </row>
    <row r="36" spans="2:14" ht="63.75">
      <c r="B36" s="109" t="s">
        <v>642</v>
      </c>
      <c r="C36" s="110" t="s">
        <v>651</v>
      </c>
      <c r="D36" s="111" t="s">
        <v>39</v>
      </c>
      <c r="E36" s="109" t="s">
        <v>542</v>
      </c>
      <c r="F36" s="104">
        <f t="shared" si="6"/>
        <v>70.37755000000001</v>
      </c>
      <c r="G36" s="109" t="s">
        <v>536</v>
      </c>
      <c r="H36" s="111"/>
      <c r="I36" s="109" t="s">
        <v>647</v>
      </c>
      <c r="J36" s="109" t="s">
        <v>39</v>
      </c>
      <c r="K36" s="109" t="s">
        <v>633</v>
      </c>
      <c r="L36" s="111">
        <v>16.8</v>
      </c>
      <c r="M36" s="104">
        <v>0.8</v>
      </c>
      <c r="N36" s="104">
        <f t="shared" si="7"/>
        <v>13.440000000000001</v>
      </c>
    </row>
    <row r="37" spans="2:14" ht="63.75">
      <c r="B37" s="109" t="s">
        <v>642</v>
      </c>
      <c r="C37" s="110" t="s">
        <v>651</v>
      </c>
      <c r="D37" s="111" t="s">
        <v>39</v>
      </c>
      <c r="E37" s="109" t="s">
        <v>542</v>
      </c>
      <c r="F37" s="104">
        <f t="shared" si="6"/>
        <v>70.37755000000001</v>
      </c>
      <c r="G37" s="109" t="s">
        <v>536</v>
      </c>
      <c r="H37" s="111"/>
      <c r="I37" s="109" t="s">
        <v>648</v>
      </c>
      <c r="J37" s="109" t="s">
        <v>39</v>
      </c>
      <c r="K37" s="109" t="s">
        <v>633</v>
      </c>
      <c r="L37" s="111">
        <v>16.8</v>
      </c>
      <c r="M37" s="104">
        <v>0.2</v>
      </c>
      <c r="N37" s="104">
        <f t="shared" si="7"/>
        <v>3.3600000000000003</v>
      </c>
    </row>
    <row r="38" spans="2:14" ht="63.75">
      <c r="B38" s="109" t="s">
        <v>642</v>
      </c>
      <c r="C38" s="110" t="s">
        <v>651</v>
      </c>
      <c r="D38" s="111" t="s">
        <v>39</v>
      </c>
      <c r="E38" s="109" t="s">
        <v>542</v>
      </c>
      <c r="F38" s="104">
        <f t="shared" si="6"/>
        <v>70.37755000000001</v>
      </c>
      <c r="G38" s="109" t="s">
        <v>639</v>
      </c>
      <c r="H38" s="111">
        <v>88247</v>
      </c>
      <c r="I38" s="109" t="s">
        <v>640</v>
      </c>
      <c r="J38" s="109" t="s">
        <v>459</v>
      </c>
      <c r="K38" s="109" t="s">
        <v>547</v>
      </c>
      <c r="L38" s="111">
        <v>0.527</v>
      </c>
      <c r="M38" s="111">
        <v>20.42</v>
      </c>
      <c r="N38" s="104">
        <f t="shared" si="7"/>
        <v>10.76134</v>
      </c>
    </row>
    <row r="39" spans="2:14" ht="63.75">
      <c r="B39" s="109" t="s">
        <v>642</v>
      </c>
      <c r="C39" s="110" t="s">
        <v>651</v>
      </c>
      <c r="D39" s="111" t="s">
        <v>39</v>
      </c>
      <c r="E39" s="109" t="s">
        <v>542</v>
      </c>
      <c r="F39" s="104">
        <f t="shared" si="6"/>
        <v>70.37755000000001</v>
      </c>
      <c r="G39" s="109" t="s">
        <v>639</v>
      </c>
      <c r="H39" s="111">
        <v>88264</v>
      </c>
      <c r="I39" s="109" t="s">
        <v>641</v>
      </c>
      <c r="J39" s="109" t="s">
        <v>459</v>
      </c>
      <c r="K39" s="109" t="s">
        <v>547</v>
      </c>
      <c r="L39" s="111">
        <v>0.527</v>
      </c>
      <c r="M39" s="111">
        <v>23.23</v>
      </c>
      <c r="N39" s="104">
        <f t="shared" si="7"/>
        <v>12.24221</v>
      </c>
    </row>
    <row r="40" spans="2:14" ht="15">
      <c r="B40" s="108"/>
      <c r="C40" s="115"/>
      <c r="D40" s="108"/>
      <c r="E40" s="108"/>
      <c r="F40" s="108"/>
      <c r="G40" s="112"/>
      <c r="H40" s="108"/>
      <c r="I40" s="112"/>
      <c r="J40" s="113"/>
      <c r="K40" s="108"/>
      <c r="L40" s="113"/>
      <c r="M40" s="113"/>
      <c r="N40" s="104">
        <f>SUM(N33:N39)</f>
        <v>70.37755000000001</v>
      </c>
    </row>
    <row r="42" spans="1:14" ht="63.75">
      <c r="A42" s="108"/>
      <c r="B42" s="109" t="s">
        <v>230</v>
      </c>
      <c r="C42" s="116" t="s">
        <v>231</v>
      </c>
      <c r="D42" s="111" t="s">
        <v>39</v>
      </c>
      <c r="E42" s="109" t="s">
        <v>542</v>
      </c>
      <c r="F42" s="104">
        <f aca="true" t="shared" si="8" ref="F42:F48">N$49</f>
        <v>14.351499999999998</v>
      </c>
      <c r="G42" s="112"/>
      <c r="H42" s="108"/>
      <c r="I42" s="112"/>
      <c r="J42" s="113"/>
      <c r="K42" s="108"/>
      <c r="L42" s="113"/>
      <c r="M42" s="113"/>
      <c r="N42" s="114"/>
    </row>
    <row r="43" spans="1:14" ht="63.75">
      <c r="A43" s="108"/>
      <c r="B43" s="109" t="s">
        <v>230</v>
      </c>
      <c r="C43" s="116" t="s">
        <v>231</v>
      </c>
      <c r="D43" s="111" t="s">
        <v>39</v>
      </c>
      <c r="E43" s="109" t="s">
        <v>542</v>
      </c>
      <c r="F43" s="104">
        <f t="shared" si="8"/>
        <v>14.351499999999998</v>
      </c>
      <c r="G43" s="109" t="s">
        <v>536</v>
      </c>
      <c r="H43" s="111" t="s">
        <v>633</v>
      </c>
      <c r="I43" s="116" t="s">
        <v>231</v>
      </c>
      <c r="J43" s="109" t="s">
        <v>39</v>
      </c>
      <c r="K43" s="109" t="s">
        <v>633</v>
      </c>
      <c r="L43" s="111">
        <v>1</v>
      </c>
      <c r="M43" s="104">
        <v>4.89</v>
      </c>
      <c r="N43" s="104">
        <f aca="true" t="shared" si="9" ref="N43:N48">L43*M43</f>
        <v>4.89</v>
      </c>
    </row>
    <row r="44" spans="1:14" ht="63.75">
      <c r="A44" s="108"/>
      <c r="B44" s="109" t="s">
        <v>230</v>
      </c>
      <c r="C44" s="116" t="s">
        <v>231</v>
      </c>
      <c r="D44" s="111" t="s">
        <v>39</v>
      </c>
      <c r="E44" s="109" t="s">
        <v>542</v>
      </c>
      <c r="F44" s="104">
        <f t="shared" si="8"/>
        <v>14.351499999999998</v>
      </c>
      <c r="G44" s="109" t="s">
        <v>536</v>
      </c>
      <c r="H44" s="111"/>
      <c r="I44" s="109" t="s">
        <v>646</v>
      </c>
      <c r="J44" s="109" t="s">
        <v>39</v>
      </c>
      <c r="K44" s="109" t="s">
        <v>633</v>
      </c>
      <c r="L44" s="111">
        <v>2</v>
      </c>
      <c r="M44" s="104">
        <v>0.53</v>
      </c>
      <c r="N44" s="104">
        <f t="shared" si="9"/>
        <v>1.06</v>
      </c>
    </row>
    <row r="45" spans="1:14" ht="63.75">
      <c r="A45" s="108"/>
      <c r="B45" s="109" t="s">
        <v>230</v>
      </c>
      <c r="C45" s="116" t="s">
        <v>231</v>
      </c>
      <c r="D45" s="111" t="s">
        <v>39</v>
      </c>
      <c r="E45" s="109" t="s">
        <v>542</v>
      </c>
      <c r="F45" s="104">
        <f t="shared" si="8"/>
        <v>14.351499999999998</v>
      </c>
      <c r="G45" s="109" t="s">
        <v>536</v>
      </c>
      <c r="H45" s="111"/>
      <c r="I45" s="109" t="s">
        <v>647</v>
      </c>
      <c r="J45" s="109" t="s">
        <v>39</v>
      </c>
      <c r="K45" s="109" t="s">
        <v>633</v>
      </c>
      <c r="L45" s="111">
        <v>4</v>
      </c>
      <c r="M45" s="104">
        <v>0.8</v>
      </c>
      <c r="N45" s="104">
        <f t="shared" si="9"/>
        <v>3.2</v>
      </c>
    </row>
    <row r="46" spans="1:14" ht="63.75">
      <c r="A46" s="108"/>
      <c r="B46" s="109" t="s">
        <v>230</v>
      </c>
      <c r="C46" s="116" t="s">
        <v>231</v>
      </c>
      <c r="D46" s="111" t="s">
        <v>39</v>
      </c>
      <c r="E46" s="109" t="s">
        <v>542</v>
      </c>
      <c r="F46" s="104">
        <f t="shared" si="8"/>
        <v>14.351499999999998</v>
      </c>
      <c r="G46" s="109" t="s">
        <v>536</v>
      </c>
      <c r="H46" s="111"/>
      <c r="I46" s="109" t="s">
        <v>648</v>
      </c>
      <c r="J46" s="109" t="s">
        <v>39</v>
      </c>
      <c r="K46" s="109" t="s">
        <v>633</v>
      </c>
      <c r="L46" s="111">
        <v>2</v>
      </c>
      <c r="M46" s="104">
        <v>0.2</v>
      </c>
      <c r="N46" s="104">
        <f t="shared" si="9"/>
        <v>0.4</v>
      </c>
    </row>
    <row r="47" spans="1:14" ht="63.75">
      <c r="A47" s="108"/>
      <c r="B47" s="109" t="s">
        <v>230</v>
      </c>
      <c r="C47" s="116" t="s">
        <v>231</v>
      </c>
      <c r="D47" s="111" t="s">
        <v>39</v>
      </c>
      <c r="E47" s="109" t="s">
        <v>542</v>
      </c>
      <c r="F47" s="104">
        <f t="shared" si="8"/>
        <v>14.351499999999998</v>
      </c>
      <c r="G47" s="109" t="s">
        <v>639</v>
      </c>
      <c r="H47" s="111">
        <v>88247</v>
      </c>
      <c r="I47" s="109" t="s">
        <v>640</v>
      </c>
      <c r="J47" s="109" t="s">
        <v>459</v>
      </c>
      <c r="K47" s="109" t="s">
        <v>547</v>
      </c>
      <c r="L47" s="111">
        <v>0.11</v>
      </c>
      <c r="M47" s="111">
        <v>20.42</v>
      </c>
      <c r="N47" s="104">
        <f t="shared" si="9"/>
        <v>2.2462000000000004</v>
      </c>
    </row>
    <row r="48" spans="1:14" ht="63.75">
      <c r="A48" s="108"/>
      <c r="B48" s="109" t="s">
        <v>230</v>
      </c>
      <c r="C48" s="116" t="s">
        <v>231</v>
      </c>
      <c r="D48" s="111" t="s">
        <v>39</v>
      </c>
      <c r="E48" s="109" t="s">
        <v>542</v>
      </c>
      <c r="F48" s="104">
        <f t="shared" si="8"/>
        <v>14.351499999999998</v>
      </c>
      <c r="G48" s="109" t="s">
        <v>639</v>
      </c>
      <c r="H48" s="111">
        <v>88264</v>
      </c>
      <c r="I48" s="109" t="s">
        <v>641</v>
      </c>
      <c r="J48" s="109" t="s">
        <v>459</v>
      </c>
      <c r="K48" s="109" t="s">
        <v>547</v>
      </c>
      <c r="L48" s="111">
        <v>0.11</v>
      </c>
      <c r="M48" s="111">
        <v>23.23</v>
      </c>
      <c r="N48" s="104">
        <f t="shared" si="9"/>
        <v>2.5553</v>
      </c>
    </row>
    <row r="49" spans="1:14" ht="15">
      <c r="A49" s="108"/>
      <c r="B49" s="108"/>
      <c r="C49" s="115"/>
      <c r="D49" s="108"/>
      <c r="E49" s="108"/>
      <c r="F49" s="108"/>
      <c r="G49" s="112"/>
      <c r="H49" s="108"/>
      <c r="I49" s="112"/>
      <c r="J49" s="113"/>
      <c r="K49" s="108"/>
      <c r="L49" s="113"/>
      <c r="M49" s="113"/>
      <c r="N49" s="104">
        <f>SUM(N43:N48)</f>
        <v>14.351499999999998</v>
      </c>
    </row>
    <row r="51" spans="2:14" ht="63.75">
      <c r="B51" s="109" t="s">
        <v>233</v>
      </c>
      <c r="C51" s="116" t="s">
        <v>234</v>
      </c>
      <c r="D51" s="111" t="s">
        <v>39</v>
      </c>
      <c r="E51" s="109" t="s">
        <v>542</v>
      </c>
      <c r="F51" s="104">
        <f aca="true" t="shared" si="10" ref="F51:F57">N$49</f>
        <v>14.351499999999998</v>
      </c>
      <c r="G51" s="112"/>
      <c r="H51" s="108"/>
      <c r="I51" s="112"/>
      <c r="J51" s="113"/>
      <c r="K51" s="108"/>
      <c r="L51" s="113"/>
      <c r="M51" s="113"/>
      <c r="N51" s="114"/>
    </row>
    <row r="52" spans="2:14" ht="63.75">
      <c r="B52" s="109" t="s">
        <v>233</v>
      </c>
      <c r="C52" s="116" t="s">
        <v>234</v>
      </c>
      <c r="D52" s="111" t="s">
        <v>39</v>
      </c>
      <c r="E52" s="109" t="s">
        <v>542</v>
      </c>
      <c r="F52" s="104">
        <f t="shared" si="10"/>
        <v>14.351499999999998</v>
      </c>
      <c r="G52" s="109" t="s">
        <v>536</v>
      </c>
      <c r="H52" s="111" t="s">
        <v>633</v>
      </c>
      <c r="I52" s="116" t="s">
        <v>653</v>
      </c>
      <c r="J52" s="109" t="s">
        <v>39</v>
      </c>
      <c r="K52" s="109" t="s">
        <v>633</v>
      </c>
      <c r="L52" s="111">
        <v>1</v>
      </c>
      <c r="M52" s="104">
        <v>4.64</v>
      </c>
      <c r="N52" s="104">
        <f aca="true" t="shared" si="11" ref="N52:N57">L52*M52</f>
        <v>4.64</v>
      </c>
    </row>
    <row r="53" spans="2:14" ht="63.75">
      <c r="B53" s="109" t="s">
        <v>233</v>
      </c>
      <c r="C53" s="116" t="s">
        <v>234</v>
      </c>
      <c r="D53" s="111" t="s">
        <v>39</v>
      </c>
      <c r="E53" s="109" t="s">
        <v>542</v>
      </c>
      <c r="F53" s="104">
        <f t="shared" si="10"/>
        <v>14.351499999999998</v>
      </c>
      <c r="G53" s="109" t="s">
        <v>536</v>
      </c>
      <c r="H53" s="111"/>
      <c r="I53" s="109" t="s">
        <v>646</v>
      </c>
      <c r="J53" s="109" t="s">
        <v>39</v>
      </c>
      <c r="K53" s="109" t="s">
        <v>633</v>
      </c>
      <c r="L53" s="111">
        <v>2</v>
      </c>
      <c r="M53" s="104">
        <v>0.53</v>
      </c>
      <c r="N53" s="104">
        <f t="shared" si="11"/>
        <v>1.06</v>
      </c>
    </row>
    <row r="54" spans="2:14" ht="63.75">
      <c r="B54" s="109" t="s">
        <v>233</v>
      </c>
      <c r="C54" s="116" t="s">
        <v>234</v>
      </c>
      <c r="D54" s="111" t="s">
        <v>39</v>
      </c>
      <c r="E54" s="109" t="s">
        <v>542</v>
      </c>
      <c r="F54" s="104">
        <f t="shared" si="10"/>
        <v>14.351499999999998</v>
      </c>
      <c r="G54" s="109" t="s">
        <v>536</v>
      </c>
      <c r="H54" s="111"/>
      <c r="I54" s="109" t="s">
        <v>647</v>
      </c>
      <c r="J54" s="109" t="s">
        <v>39</v>
      </c>
      <c r="K54" s="109" t="s">
        <v>633</v>
      </c>
      <c r="L54" s="111">
        <v>4</v>
      </c>
      <c r="M54" s="104">
        <v>0.8</v>
      </c>
      <c r="N54" s="104">
        <f t="shared" si="11"/>
        <v>3.2</v>
      </c>
    </row>
    <row r="55" spans="2:14" ht="63.75">
      <c r="B55" s="109" t="s">
        <v>233</v>
      </c>
      <c r="C55" s="116" t="s">
        <v>234</v>
      </c>
      <c r="D55" s="111" t="s">
        <v>39</v>
      </c>
      <c r="E55" s="109" t="s">
        <v>542</v>
      </c>
      <c r="F55" s="104">
        <f t="shared" si="10"/>
        <v>14.351499999999998</v>
      </c>
      <c r="G55" s="109" t="s">
        <v>536</v>
      </c>
      <c r="H55" s="111"/>
      <c r="I55" s="109" t="s">
        <v>648</v>
      </c>
      <c r="J55" s="109" t="s">
        <v>39</v>
      </c>
      <c r="K55" s="109" t="s">
        <v>633</v>
      </c>
      <c r="L55" s="111">
        <v>2</v>
      </c>
      <c r="M55" s="104">
        <v>0.2</v>
      </c>
      <c r="N55" s="104">
        <f t="shared" si="11"/>
        <v>0.4</v>
      </c>
    </row>
    <row r="56" spans="2:14" ht="63.75">
      <c r="B56" s="109" t="s">
        <v>233</v>
      </c>
      <c r="C56" s="116" t="s">
        <v>234</v>
      </c>
      <c r="D56" s="111" t="s">
        <v>39</v>
      </c>
      <c r="E56" s="109" t="s">
        <v>542</v>
      </c>
      <c r="F56" s="104">
        <f t="shared" si="10"/>
        <v>14.351499999999998</v>
      </c>
      <c r="G56" s="109" t="s">
        <v>639</v>
      </c>
      <c r="H56" s="111">
        <v>88247</v>
      </c>
      <c r="I56" s="109" t="s">
        <v>640</v>
      </c>
      <c r="J56" s="109" t="s">
        <v>459</v>
      </c>
      <c r="K56" s="109" t="s">
        <v>547</v>
      </c>
      <c r="L56" s="111">
        <v>0.11</v>
      </c>
      <c r="M56" s="111">
        <v>20.42</v>
      </c>
      <c r="N56" s="104">
        <f t="shared" si="11"/>
        <v>2.2462000000000004</v>
      </c>
    </row>
    <row r="57" spans="2:14" ht="63.75">
      <c r="B57" s="109" t="s">
        <v>233</v>
      </c>
      <c r="C57" s="116" t="s">
        <v>234</v>
      </c>
      <c r="D57" s="111" t="s">
        <v>39</v>
      </c>
      <c r="E57" s="109" t="s">
        <v>542</v>
      </c>
      <c r="F57" s="104">
        <f t="shared" si="10"/>
        <v>14.351499999999998</v>
      </c>
      <c r="G57" s="109" t="s">
        <v>639</v>
      </c>
      <c r="H57" s="111">
        <v>88264</v>
      </c>
      <c r="I57" s="109" t="s">
        <v>641</v>
      </c>
      <c r="J57" s="109" t="s">
        <v>459</v>
      </c>
      <c r="K57" s="109" t="s">
        <v>547</v>
      </c>
      <c r="L57" s="111">
        <v>0.11</v>
      </c>
      <c r="M57" s="111">
        <v>23.23</v>
      </c>
      <c r="N57" s="104">
        <f t="shared" si="11"/>
        <v>2.5553</v>
      </c>
    </row>
    <row r="58" spans="2:14" ht="15">
      <c r="B58" s="108"/>
      <c r="C58" s="115"/>
      <c r="D58" s="108"/>
      <c r="E58" s="108"/>
      <c r="F58" s="108"/>
      <c r="G58" s="112"/>
      <c r="H58" s="108"/>
      <c r="I58" s="112"/>
      <c r="J58" s="113"/>
      <c r="K58" s="108"/>
      <c r="L58" s="113"/>
      <c r="M58" s="113"/>
      <c r="N58" s="104">
        <f>SUM(N52:N57)</f>
        <v>14.101499999999998</v>
      </c>
    </row>
    <row r="60" spans="2:14" ht="63.75">
      <c r="B60" s="109" t="s">
        <v>236</v>
      </c>
      <c r="C60" s="116" t="s">
        <v>237</v>
      </c>
      <c r="D60" s="111" t="s">
        <v>39</v>
      </c>
      <c r="E60" s="109" t="s">
        <v>542</v>
      </c>
      <c r="F60" s="104">
        <f aca="true" t="shared" si="12" ref="F60:F67">N$68</f>
        <v>108.64755</v>
      </c>
      <c r="G60" s="112"/>
      <c r="H60" s="108"/>
      <c r="I60" s="112"/>
      <c r="J60" s="113"/>
      <c r="K60" s="108"/>
      <c r="L60" s="113"/>
      <c r="M60" s="113"/>
      <c r="N60" s="114"/>
    </row>
    <row r="61" spans="2:14" ht="63.75">
      <c r="B61" s="109" t="s">
        <v>236</v>
      </c>
      <c r="C61" s="116" t="s">
        <v>237</v>
      </c>
      <c r="D61" s="111" t="s">
        <v>39</v>
      </c>
      <c r="E61" s="109" t="s">
        <v>542</v>
      </c>
      <c r="F61" s="104">
        <f t="shared" si="12"/>
        <v>108.64755</v>
      </c>
      <c r="G61" s="109" t="s">
        <v>536</v>
      </c>
      <c r="H61" s="111" t="s">
        <v>633</v>
      </c>
      <c r="I61" s="116" t="s">
        <v>654</v>
      </c>
      <c r="J61" s="109" t="s">
        <v>39</v>
      </c>
      <c r="K61" s="109" t="s">
        <v>633</v>
      </c>
      <c r="L61" s="111">
        <v>1</v>
      </c>
      <c r="M61" s="104">
        <v>52.9</v>
      </c>
      <c r="N61" s="104">
        <f aca="true" t="shared" si="13" ref="N61:N67">L61*M61</f>
        <v>52.9</v>
      </c>
    </row>
    <row r="62" spans="2:14" ht="63.75">
      <c r="B62" s="109" t="s">
        <v>236</v>
      </c>
      <c r="C62" s="116" t="s">
        <v>237</v>
      </c>
      <c r="D62" s="111" t="s">
        <v>39</v>
      </c>
      <c r="E62" s="109" t="s">
        <v>542</v>
      </c>
      <c r="F62" s="104">
        <f t="shared" si="12"/>
        <v>108.64755</v>
      </c>
      <c r="G62" s="109" t="s">
        <v>536</v>
      </c>
      <c r="H62" s="111" t="s">
        <v>633</v>
      </c>
      <c r="I62" s="109" t="s">
        <v>645</v>
      </c>
      <c r="J62" s="109" t="s">
        <v>39</v>
      </c>
      <c r="K62" s="109" t="s">
        <v>633</v>
      </c>
      <c r="L62" s="111">
        <v>4</v>
      </c>
      <c r="M62" s="104">
        <v>1.76</v>
      </c>
      <c r="N62" s="104">
        <f t="shared" si="13"/>
        <v>7.04</v>
      </c>
    </row>
    <row r="63" spans="2:14" ht="63.75">
      <c r="B63" s="109" t="s">
        <v>236</v>
      </c>
      <c r="C63" s="116" t="s">
        <v>237</v>
      </c>
      <c r="D63" s="111" t="s">
        <v>39</v>
      </c>
      <c r="E63" s="109" t="s">
        <v>542</v>
      </c>
      <c r="F63" s="104">
        <f t="shared" si="12"/>
        <v>108.64755</v>
      </c>
      <c r="G63" s="109" t="s">
        <v>536</v>
      </c>
      <c r="H63" s="111"/>
      <c r="I63" s="109" t="s">
        <v>646</v>
      </c>
      <c r="J63" s="109" t="s">
        <v>39</v>
      </c>
      <c r="K63" s="109" t="s">
        <v>633</v>
      </c>
      <c r="L63" s="111">
        <v>16.8</v>
      </c>
      <c r="M63" s="104">
        <v>0.53</v>
      </c>
      <c r="N63" s="104">
        <f t="shared" si="13"/>
        <v>8.904000000000002</v>
      </c>
    </row>
    <row r="64" spans="2:14" ht="63.75">
      <c r="B64" s="109" t="s">
        <v>236</v>
      </c>
      <c r="C64" s="116" t="s">
        <v>237</v>
      </c>
      <c r="D64" s="111" t="s">
        <v>39</v>
      </c>
      <c r="E64" s="109" t="s">
        <v>542</v>
      </c>
      <c r="F64" s="104">
        <f t="shared" si="12"/>
        <v>108.64755</v>
      </c>
      <c r="G64" s="109" t="s">
        <v>536</v>
      </c>
      <c r="H64" s="111"/>
      <c r="I64" s="109" t="s">
        <v>647</v>
      </c>
      <c r="J64" s="109" t="s">
        <v>39</v>
      </c>
      <c r="K64" s="109" t="s">
        <v>633</v>
      </c>
      <c r="L64" s="111">
        <v>16.8</v>
      </c>
      <c r="M64" s="104">
        <v>0.8</v>
      </c>
      <c r="N64" s="104">
        <f t="shared" si="13"/>
        <v>13.440000000000001</v>
      </c>
    </row>
    <row r="65" spans="2:14" ht="63.75">
      <c r="B65" s="109" t="s">
        <v>236</v>
      </c>
      <c r="C65" s="116" t="s">
        <v>237</v>
      </c>
      <c r="D65" s="111" t="s">
        <v>39</v>
      </c>
      <c r="E65" s="109" t="s">
        <v>542</v>
      </c>
      <c r="F65" s="104">
        <f t="shared" si="12"/>
        <v>108.64755</v>
      </c>
      <c r="G65" s="109" t="s">
        <v>536</v>
      </c>
      <c r="H65" s="111"/>
      <c r="I65" s="109" t="s">
        <v>648</v>
      </c>
      <c r="J65" s="109" t="s">
        <v>39</v>
      </c>
      <c r="K65" s="109" t="s">
        <v>633</v>
      </c>
      <c r="L65" s="111">
        <v>16.8</v>
      </c>
      <c r="M65" s="104">
        <v>0.2</v>
      </c>
      <c r="N65" s="104">
        <f t="shared" si="13"/>
        <v>3.3600000000000003</v>
      </c>
    </row>
    <row r="66" spans="2:14" ht="63.75">
      <c r="B66" s="109" t="s">
        <v>236</v>
      </c>
      <c r="C66" s="116" t="s">
        <v>237</v>
      </c>
      <c r="D66" s="111" t="s">
        <v>39</v>
      </c>
      <c r="E66" s="109" t="s">
        <v>542</v>
      </c>
      <c r="F66" s="104">
        <f t="shared" si="12"/>
        <v>108.64755</v>
      </c>
      <c r="G66" s="109" t="s">
        <v>639</v>
      </c>
      <c r="H66" s="111">
        <v>88247</v>
      </c>
      <c r="I66" s="109" t="s">
        <v>640</v>
      </c>
      <c r="J66" s="109" t="s">
        <v>459</v>
      </c>
      <c r="K66" s="109" t="s">
        <v>547</v>
      </c>
      <c r="L66" s="111">
        <v>0.527</v>
      </c>
      <c r="M66" s="111">
        <v>20.42</v>
      </c>
      <c r="N66" s="104">
        <f t="shared" si="13"/>
        <v>10.76134</v>
      </c>
    </row>
    <row r="67" spans="2:14" ht="63.75">
      <c r="B67" s="109" t="s">
        <v>236</v>
      </c>
      <c r="C67" s="116" t="s">
        <v>237</v>
      </c>
      <c r="D67" s="111" t="s">
        <v>39</v>
      </c>
      <c r="E67" s="109" t="s">
        <v>542</v>
      </c>
      <c r="F67" s="104">
        <f t="shared" si="12"/>
        <v>108.64755</v>
      </c>
      <c r="G67" s="109" t="s">
        <v>639</v>
      </c>
      <c r="H67" s="111">
        <v>88264</v>
      </c>
      <c r="I67" s="109" t="s">
        <v>641</v>
      </c>
      <c r="J67" s="109" t="s">
        <v>459</v>
      </c>
      <c r="K67" s="109" t="s">
        <v>547</v>
      </c>
      <c r="L67" s="111">
        <v>0.527</v>
      </c>
      <c r="M67" s="111">
        <v>23.23</v>
      </c>
      <c r="N67" s="104">
        <f t="shared" si="13"/>
        <v>12.24221</v>
      </c>
    </row>
    <row r="68" spans="2:14" ht="15">
      <c r="B68" s="108"/>
      <c r="C68" s="115"/>
      <c r="D68" s="108"/>
      <c r="E68" s="108"/>
      <c r="F68" s="108"/>
      <c r="G68" s="112"/>
      <c r="H68" s="108"/>
      <c r="I68" s="112"/>
      <c r="J68" s="113"/>
      <c r="K68" s="108"/>
      <c r="L68" s="113"/>
      <c r="M68" s="113"/>
      <c r="N68" s="104">
        <f>SUM(N61:N67)</f>
        <v>108.64755</v>
      </c>
    </row>
    <row r="70" spans="2:14" ht="76.5">
      <c r="B70" s="109" t="s">
        <v>239</v>
      </c>
      <c r="C70" s="110" t="s">
        <v>655</v>
      </c>
      <c r="D70" s="111" t="s">
        <v>39</v>
      </c>
      <c r="E70" s="109" t="s">
        <v>542</v>
      </c>
      <c r="F70" s="104">
        <f aca="true" t="shared" si="14" ref="F70:F77">N$78</f>
        <v>88.64755000000001</v>
      </c>
      <c r="G70" s="112"/>
      <c r="H70" s="108"/>
      <c r="I70" s="112"/>
      <c r="J70" s="113"/>
      <c r="K70" s="108"/>
      <c r="L70" s="113"/>
      <c r="M70" s="113"/>
      <c r="N70" s="114"/>
    </row>
    <row r="71" spans="2:14" ht="76.5">
      <c r="B71" s="109" t="s">
        <v>239</v>
      </c>
      <c r="C71" s="110" t="s">
        <v>655</v>
      </c>
      <c r="D71" s="111" t="s">
        <v>39</v>
      </c>
      <c r="E71" s="109" t="s">
        <v>542</v>
      </c>
      <c r="F71" s="104">
        <f t="shared" si="14"/>
        <v>88.64755000000001</v>
      </c>
      <c r="G71" s="109" t="s">
        <v>536</v>
      </c>
      <c r="H71" s="111" t="s">
        <v>633</v>
      </c>
      <c r="I71" s="109" t="s">
        <v>656</v>
      </c>
      <c r="J71" s="109" t="s">
        <v>39</v>
      </c>
      <c r="K71" s="109" t="s">
        <v>633</v>
      </c>
      <c r="L71" s="111">
        <v>1</v>
      </c>
      <c r="M71" s="104">
        <v>32.9</v>
      </c>
      <c r="N71" s="104">
        <f aca="true" t="shared" si="15" ref="N71:N77">L71*M71</f>
        <v>32.9</v>
      </c>
    </row>
    <row r="72" spans="2:14" ht="76.5">
      <c r="B72" s="109" t="s">
        <v>239</v>
      </c>
      <c r="C72" s="110" t="s">
        <v>655</v>
      </c>
      <c r="D72" s="111" t="s">
        <v>39</v>
      </c>
      <c r="E72" s="109" t="s">
        <v>542</v>
      </c>
      <c r="F72" s="104">
        <f t="shared" si="14"/>
        <v>88.64755000000001</v>
      </c>
      <c r="G72" s="109" t="s">
        <v>536</v>
      </c>
      <c r="H72" s="111" t="s">
        <v>633</v>
      </c>
      <c r="I72" s="109" t="s">
        <v>652</v>
      </c>
      <c r="J72" s="109" t="s">
        <v>39</v>
      </c>
      <c r="K72" s="109" t="s">
        <v>633</v>
      </c>
      <c r="L72" s="111">
        <v>4</v>
      </c>
      <c r="M72" s="104">
        <v>1.76</v>
      </c>
      <c r="N72" s="104">
        <f t="shared" si="15"/>
        <v>7.04</v>
      </c>
    </row>
    <row r="73" spans="2:14" ht="76.5">
      <c r="B73" s="109" t="s">
        <v>239</v>
      </c>
      <c r="C73" s="110" t="s">
        <v>655</v>
      </c>
      <c r="D73" s="111" t="s">
        <v>39</v>
      </c>
      <c r="E73" s="109" t="s">
        <v>542</v>
      </c>
      <c r="F73" s="104">
        <f t="shared" si="14"/>
        <v>88.64755000000001</v>
      </c>
      <c r="G73" s="109" t="s">
        <v>536</v>
      </c>
      <c r="H73" s="111"/>
      <c r="I73" s="109" t="s">
        <v>646</v>
      </c>
      <c r="J73" s="109" t="s">
        <v>39</v>
      </c>
      <c r="K73" s="109" t="s">
        <v>633</v>
      </c>
      <c r="L73" s="111">
        <v>16.8</v>
      </c>
      <c r="M73" s="104">
        <v>0.53</v>
      </c>
      <c r="N73" s="104">
        <f t="shared" si="15"/>
        <v>8.904000000000002</v>
      </c>
    </row>
    <row r="74" spans="2:14" ht="76.5">
      <c r="B74" s="109" t="s">
        <v>239</v>
      </c>
      <c r="C74" s="110" t="s">
        <v>655</v>
      </c>
      <c r="D74" s="111" t="s">
        <v>39</v>
      </c>
      <c r="E74" s="109" t="s">
        <v>542</v>
      </c>
      <c r="F74" s="104">
        <f t="shared" si="14"/>
        <v>88.64755000000001</v>
      </c>
      <c r="G74" s="109" t="s">
        <v>536</v>
      </c>
      <c r="H74" s="111"/>
      <c r="I74" s="109" t="s">
        <v>647</v>
      </c>
      <c r="J74" s="109" t="s">
        <v>39</v>
      </c>
      <c r="K74" s="109" t="s">
        <v>633</v>
      </c>
      <c r="L74" s="111">
        <v>16.8</v>
      </c>
      <c r="M74" s="104">
        <v>0.8</v>
      </c>
      <c r="N74" s="104">
        <f t="shared" si="15"/>
        <v>13.440000000000001</v>
      </c>
    </row>
    <row r="75" spans="2:14" ht="76.5">
      <c r="B75" s="109" t="s">
        <v>239</v>
      </c>
      <c r="C75" s="110" t="s">
        <v>655</v>
      </c>
      <c r="D75" s="111" t="s">
        <v>39</v>
      </c>
      <c r="E75" s="109" t="s">
        <v>542</v>
      </c>
      <c r="F75" s="104">
        <f t="shared" si="14"/>
        <v>88.64755000000001</v>
      </c>
      <c r="G75" s="109" t="s">
        <v>536</v>
      </c>
      <c r="H75" s="111"/>
      <c r="I75" s="109" t="s">
        <v>648</v>
      </c>
      <c r="J75" s="109" t="s">
        <v>39</v>
      </c>
      <c r="K75" s="109" t="s">
        <v>633</v>
      </c>
      <c r="L75" s="111">
        <v>16.8</v>
      </c>
      <c r="M75" s="104">
        <v>0.2</v>
      </c>
      <c r="N75" s="104">
        <f t="shared" si="15"/>
        <v>3.3600000000000003</v>
      </c>
    </row>
    <row r="76" spans="2:14" ht="76.5">
      <c r="B76" s="109" t="s">
        <v>239</v>
      </c>
      <c r="C76" s="110" t="s">
        <v>655</v>
      </c>
      <c r="D76" s="111" t="s">
        <v>39</v>
      </c>
      <c r="E76" s="109" t="s">
        <v>542</v>
      </c>
      <c r="F76" s="104">
        <f t="shared" si="14"/>
        <v>88.64755000000001</v>
      </c>
      <c r="G76" s="109" t="s">
        <v>639</v>
      </c>
      <c r="H76" s="111">
        <v>88247</v>
      </c>
      <c r="I76" s="109" t="s">
        <v>640</v>
      </c>
      <c r="J76" s="109" t="s">
        <v>459</v>
      </c>
      <c r="K76" s="109" t="s">
        <v>547</v>
      </c>
      <c r="L76" s="111">
        <v>0.527</v>
      </c>
      <c r="M76" s="111">
        <v>20.42</v>
      </c>
      <c r="N76" s="104">
        <f t="shared" si="15"/>
        <v>10.76134</v>
      </c>
    </row>
    <row r="77" spans="2:14" ht="76.5">
      <c r="B77" s="109" t="s">
        <v>239</v>
      </c>
      <c r="C77" s="110" t="s">
        <v>655</v>
      </c>
      <c r="D77" s="111" t="s">
        <v>39</v>
      </c>
      <c r="E77" s="109" t="s">
        <v>542</v>
      </c>
      <c r="F77" s="104">
        <f t="shared" si="14"/>
        <v>88.64755000000001</v>
      </c>
      <c r="G77" s="109" t="s">
        <v>639</v>
      </c>
      <c r="H77" s="111">
        <v>88264</v>
      </c>
      <c r="I77" s="109" t="s">
        <v>641</v>
      </c>
      <c r="J77" s="109" t="s">
        <v>459</v>
      </c>
      <c r="K77" s="109" t="s">
        <v>547</v>
      </c>
      <c r="L77" s="111">
        <v>0.527</v>
      </c>
      <c r="M77" s="111">
        <v>23.23</v>
      </c>
      <c r="N77" s="104">
        <f t="shared" si="15"/>
        <v>12.24221</v>
      </c>
    </row>
    <row r="78" spans="2:14" ht="15">
      <c r="B78" s="108"/>
      <c r="C78" s="115"/>
      <c r="D78" s="108"/>
      <c r="E78" s="108"/>
      <c r="F78" s="108"/>
      <c r="G78" s="112"/>
      <c r="H78" s="108"/>
      <c r="I78" s="112"/>
      <c r="J78" s="113"/>
      <c r="K78" s="108"/>
      <c r="L78" s="113"/>
      <c r="M78" s="113"/>
      <c r="N78" s="104">
        <f>SUM(N71:N77)</f>
        <v>88.64755000000001</v>
      </c>
    </row>
    <row r="80" spans="2:14" ht="63.75">
      <c r="B80" s="109" t="s">
        <v>242</v>
      </c>
      <c r="C80" s="116" t="s">
        <v>243</v>
      </c>
      <c r="D80" s="111" t="s">
        <v>39</v>
      </c>
      <c r="E80" s="109" t="s">
        <v>542</v>
      </c>
      <c r="F80" s="104">
        <f aca="true" t="shared" si="16" ref="F80:F87">N$88</f>
        <v>110.46755</v>
      </c>
      <c r="G80" s="112"/>
      <c r="H80" s="108"/>
      <c r="I80" s="112"/>
      <c r="J80" s="113"/>
      <c r="K80" s="108"/>
      <c r="L80" s="113"/>
      <c r="M80" s="113"/>
      <c r="N80" s="114"/>
    </row>
    <row r="81" spans="2:14" ht="63.75">
      <c r="B81" s="109" t="s">
        <v>242</v>
      </c>
      <c r="C81" s="116" t="s">
        <v>243</v>
      </c>
      <c r="D81" s="111" t="s">
        <v>39</v>
      </c>
      <c r="E81" s="109" t="s">
        <v>542</v>
      </c>
      <c r="F81" s="104">
        <f t="shared" si="16"/>
        <v>110.46755</v>
      </c>
      <c r="G81" s="109" t="s">
        <v>536</v>
      </c>
      <c r="H81" s="111" t="s">
        <v>633</v>
      </c>
      <c r="I81" s="116" t="s">
        <v>657</v>
      </c>
      <c r="J81" s="109" t="s">
        <v>39</v>
      </c>
      <c r="K81" s="109" t="s">
        <v>633</v>
      </c>
      <c r="L81" s="111">
        <v>1</v>
      </c>
      <c r="M81" s="104">
        <v>54.72</v>
      </c>
      <c r="N81" s="104">
        <f aca="true" t="shared" si="17" ref="N81:N87">L81*M81</f>
        <v>54.72</v>
      </c>
    </row>
    <row r="82" spans="2:14" ht="63.75">
      <c r="B82" s="109" t="s">
        <v>242</v>
      </c>
      <c r="C82" s="116" t="s">
        <v>243</v>
      </c>
      <c r="D82" s="111" t="s">
        <v>39</v>
      </c>
      <c r="E82" s="109" t="s">
        <v>542</v>
      </c>
      <c r="F82" s="104">
        <f t="shared" si="16"/>
        <v>110.46755</v>
      </c>
      <c r="G82" s="109" t="s">
        <v>536</v>
      </c>
      <c r="H82" s="111" t="s">
        <v>633</v>
      </c>
      <c r="I82" s="109" t="s">
        <v>645</v>
      </c>
      <c r="J82" s="109" t="s">
        <v>39</v>
      </c>
      <c r="K82" s="109" t="s">
        <v>633</v>
      </c>
      <c r="L82" s="111">
        <v>4</v>
      </c>
      <c r="M82" s="104">
        <v>1.76</v>
      </c>
      <c r="N82" s="104">
        <f t="shared" si="17"/>
        <v>7.04</v>
      </c>
    </row>
    <row r="83" spans="2:14" ht="63.75">
      <c r="B83" s="109" t="s">
        <v>242</v>
      </c>
      <c r="C83" s="116" t="s">
        <v>243</v>
      </c>
      <c r="D83" s="111" t="s">
        <v>39</v>
      </c>
      <c r="E83" s="109" t="s">
        <v>542</v>
      </c>
      <c r="F83" s="104">
        <f t="shared" si="16"/>
        <v>110.46755</v>
      </c>
      <c r="G83" s="109" t="s">
        <v>536</v>
      </c>
      <c r="H83" s="111"/>
      <c r="I83" s="109" t="s">
        <v>646</v>
      </c>
      <c r="J83" s="109" t="s">
        <v>39</v>
      </c>
      <c r="K83" s="109" t="s">
        <v>633</v>
      </c>
      <c r="L83" s="111">
        <v>16.8</v>
      </c>
      <c r="M83" s="104">
        <v>0.53</v>
      </c>
      <c r="N83" s="104">
        <f t="shared" si="17"/>
        <v>8.904000000000002</v>
      </c>
    </row>
    <row r="84" spans="2:14" ht="63.75">
      <c r="B84" s="109" t="s">
        <v>242</v>
      </c>
      <c r="C84" s="116" t="s">
        <v>243</v>
      </c>
      <c r="D84" s="111" t="s">
        <v>39</v>
      </c>
      <c r="E84" s="109" t="s">
        <v>542</v>
      </c>
      <c r="F84" s="104">
        <f t="shared" si="16"/>
        <v>110.46755</v>
      </c>
      <c r="G84" s="109" t="s">
        <v>536</v>
      </c>
      <c r="H84" s="111"/>
      <c r="I84" s="109" t="s">
        <v>647</v>
      </c>
      <c r="J84" s="109" t="s">
        <v>39</v>
      </c>
      <c r="K84" s="109" t="s">
        <v>633</v>
      </c>
      <c r="L84" s="111">
        <v>16.8</v>
      </c>
      <c r="M84" s="104">
        <v>0.8</v>
      </c>
      <c r="N84" s="104">
        <f t="shared" si="17"/>
        <v>13.440000000000001</v>
      </c>
    </row>
    <row r="85" spans="2:14" ht="63.75">
      <c r="B85" s="109" t="s">
        <v>242</v>
      </c>
      <c r="C85" s="116" t="s">
        <v>243</v>
      </c>
      <c r="D85" s="111" t="s">
        <v>39</v>
      </c>
      <c r="E85" s="109" t="s">
        <v>542</v>
      </c>
      <c r="F85" s="104">
        <f t="shared" si="16"/>
        <v>110.46755</v>
      </c>
      <c r="G85" s="109" t="s">
        <v>536</v>
      </c>
      <c r="H85" s="111"/>
      <c r="I85" s="109" t="s">
        <v>648</v>
      </c>
      <c r="J85" s="109" t="s">
        <v>39</v>
      </c>
      <c r="K85" s="109" t="s">
        <v>633</v>
      </c>
      <c r="L85" s="111">
        <v>16.8</v>
      </c>
      <c r="M85" s="104">
        <v>0.2</v>
      </c>
      <c r="N85" s="104">
        <f t="shared" si="17"/>
        <v>3.3600000000000003</v>
      </c>
    </row>
    <row r="86" spans="2:14" ht="63.75">
      <c r="B86" s="109" t="s">
        <v>242</v>
      </c>
      <c r="C86" s="116" t="s">
        <v>243</v>
      </c>
      <c r="D86" s="111" t="s">
        <v>39</v>
      </c>
      <c r="E86" s="109" t="s">
        <v>542</v>
      </c>
      <c r="F86" s="104">
        <f t="shared" si="16"/>
        <v>110.46755</v>
      </c>
      <c r="G86" s="109" t="s">
        <v>639</v>
      </c>
      <c r="H86" s="111">
        <v>88247</v>
      </c>
      <c r="I86" s="109" t="s">
        <v>640</v>
      </c>
      <c r="J86" s="109" t="s">
        <v>459</v>
      </c>
      <c r="K86" s="109" t="s">
        <v>547</v>
      </c>
      <c r="L86" s="111">
        <v>0.527</v>
      </c>
      <c r="M86" s="111">
        <v>20.42</v>
      </c>
      <c r="N86" s="104">
        <f t="shared" si="17"/>
        <v>10.76134</v>
      </c>
    </row>
    <row r="87" spans="2:14" ht="63.75">
      <c r="B87" s="109" t="s">
        <v>242</v>
      </c>
      <c r="C87" s="116" t="s">
        <v>243</v>
      </c>
      <c r="D87" s="111" t="s">
        <v>39</v>
      </c>
      <c r="E87" s="109" t="s">
        <v>542</v>
      </c>
      <c r="F87" s="104">
        <f t="shared" si="16"/>
        <v>110.46755</v>
      </c>
      <c r="G87" s="109" t="s">
        <v>639</v>
      </c>
      <c r="H87" s="111">
        <v>88264</v>
      </c>
      <c r="I87" s="109" t="s">
        <v>641</v>
      </c>
      <c r="J87" s="109" t="s">
        <v>459</v>
      </c>
      <c r="K87" s="109" t="s">
        <v>547</v>
      </c>
      <c r="L87" s="111">
        <v>0.527</v>
      </c>
      <c r="M87" s="111">
        <v>23.23</v>
      </c>
      <c r="N87" s="104">
        <f t="shared" si="17"/>
        <v>12.24221</v>
      </c>
    </row>
    <row r="88" spans="2:14" ht="15">
      <c r="B88" s="108"/>
      <c r="C88" s="115"/>
      <c r="D88" s="108"/>
      <c r="E88" s="108"/>
      <c r="F88" s="108"/>
      <c r="G88" s="112"/>
      <c r="H88" s="108"/>
      <c r="I88" s="112"/>
      <c r="J88" s="113"/>
      <c r="K88" s="108"/>
      <c r="L88" s="113"/>
      <c r="M88" s="113"/>
      <c r="N88" s="104">
        <f>SUM(N81:N87)</f>
        <v>110.46755</v>
      </c>
    </row>
    <row r="90" spans="2:14" ht="76.5">
      <c r="B90" s="109" t="s">
        <v>245</v>
      </c>
      <c r="C90" s="110" t="s">
        <v>658</v>
      </c>
      <c r="D90" s="111" t="s">
        <v>39</v>
      </c>
      <c r="E90" s="109" t="s">
        <v>542</v>
      </c>
      <c r="F90" s="104">
        <f aca="true" t="shared" si="18" ref="F90:F97">N$98</f>
        <v>96.73755000000001</v>
      </c>
      <c r="G90" s="112"/>
      <c r="H90" s="108"/>
      <c r="I90" s="112"/>
      <c r="J90" s="113"/>
      <c r="K90" s="108"/>
      <c r="L90" s="113"/>
      <c r="M90" s="113"/>
      <c r="N90" s="114"/>
    </row>
    <row r="91" spans="2:14" ht="76.5">
      <c r="B91" s="109" t="s">
        <v>245</v>
      </c>
      <c r="C91" s="110" t="s">
        <v>658</v>
      </c>
      <c r="D91" s="111" t="s">
        <v>39</v>
      </c>
      <c r="E91" s="109" t="s">
        <v>542</v>
      </c>
      <c r="F91" s="104">
        <f t="shared" si="18"/>
        <v>96.73755000000001</v>
      </c>
      <c r="G91" s="109" t="s">
        <v>536</v>
      </c>
      <c r="H91" s="111" t="s">
        <v>633</v>
      </c>
      <c r="I91" s="109" t="s">
        <v>659</v>
      </c>
      <c r="J91" s="109" t="s">
        <v>39</v>
      </c>
      <c r="K91" s="109" t="s">
        <v>633</v>
      </c>
      <c r="L91" s="111">
        <v>1</v>
      </c>
      <c r="M91" s="104">
        <v>40.99</v>
      </c>
      <c r="N91" s="104">
        <f aca="true" t="shared" si="19" ref="N91:N97">L91*M91</f>
        <v>40.99</v>
      </c>
    </row>
    <row r="92" spans="2:14" ht="76.5">
      <c r="B92" s="109" t="s">
        <v>245</v>
      </c>
      <c r="C92" s="110" t="s">
        <v>658</v>
      </c>
      <c r="D92" s="111" t="s">
        <v>39</v>
      </c>
      <c r="E92" s="109" t="s">
        <v>542</v>
      </c>
      <c r="F92" s="104">
        <f t="shared" si="18"/>
        <v>96.73755000000001</v>
      </c>
      <c r="G92" s="109" t="s">
        <v>536</v>
      </c>
      <c r="H92" s="111" t="s">
        <v>633</v>
      </c>
      <c r="I92" s="109" t="s">
        <v>652</v>
      </c>
      <c r="J92" s="109" t="s">
        <v>39</v>
      </c>
      <c r="K92" s="109" t="s">
        <v>633</v>
      </c>
      <c r="L92" s="111">
        <v>4</v>
      </c>
      <c r="M92" s="104">
        <v>1.76</v>
      </c>
      <c r="N92" s="104">
        <f t="shared" si="19"/>
        <v>7.04</v>
      </c>
    </row>
    <row r="93" spans="2:14" ht="76.5">
      <c r="B93" s="109" t="s">
        <v>245</v>
      </c>
      <c r="C93" s="110" t="s">
        <v>658</v>
      </c>
      <c r="D93" s="111" t="s">
        <v>39</v>
      </c>
      <c r="E93" s="109" t="s">
        <v>542</v>
      </c>
      <c r="F93" s="104">
        <f t="shared" si="18"/>
        <v>96.73755000000001</v>
      </c>
      <c r="G93" s="109" t="s">
        <v>536</v>
      </c>
      <c r="H93" s="111"/>
      <c r="I93" s="109" t="s">
        <v>646</v>
      </c>
      <c r="J93" s="109" t="s">
        <v>39</v>
      </c>
      <c r="K93" s="109" t="s">
        <v>633</v>
      </c>
      <c r="L93" s="111">
        <v>16.8</v>
      </c>
      <c r="M93" s="104">
        <v>0.53</v>
      </c>
      <c r="N93" s="104">
        <f t="shared" si="19"/>
        <v>8.904000000000002</v>
      </c>
    </row>
    <row r="94" spans="2:14" ht="76.5">
      <c r="B94" s="109" t="s">
        <v>245</v>
      </c>
      <c r="C94" s="110" t="s">
        <v>658</v>
      </c>
      <c r="D94" s="111" t="s">
        <v>39</v>
      </c>
      <c r="E94" s="109" t="s">
        <v>542</v>
      </c>
      <c r="F94" s="104">
        <f t="shared" si="18"/>
        <v>96.73755000000001</v>
      </c>
      <c r="G94" s="109" t="s">
        <v>536</v>
      </c>
      <c r="H94" s="111"/>
      <c r="I94" s="109" t="s">
        <v>647</v>
      </c>
      <c r="J94" s="109" t="s">
        <v>39</v>
      </c>
      <c r="K94" s="109" t="s">
        <v>633</v>
      </c>
      <c r="L94" s="111">
        <v>16.8</v>
      </c>
      <c r="M94" s="104">
        <v>0.8</v>
      </c>
      <c r="N94" s="104">
        <f t="shared" si="19"/>
        <v>13.440000000000001</v>
      </c>
    </row>
    <row r="95" spans="2:14" ht="76.5">
      <c r="B95" s="109" t="s">
        <v>245</v>
      </c>
      <c r="C95" s="110" t="s">
        <v>658</v>
      </c>
      <c r="D95" s="111" t="s">
        <v>39</v>
      </c>
      <c r="E95" s="109" t="s">
        <v>542</v>
      </c>
      <c r="F95" s="104">
        <f t="shared" si="18"/>
        <v>96.73755000000001</v>
      </c>
      <c r="G95" s="109" t="s">
        <v>536</v>
      </c>
      <c r="H95" s="111"/>
      <c r="I95" s="109" t="s">
        <v>648</v>
      </c>
      <c r="J95" s="109" t="s">
        <v>39</v>
      </c>
      <c r="K95" s="109" t="s">
        <v>633</v>
      </c>
      <c r="L95" s="111">
        <v>16.8</v>
      </c>
      <c r="M95" s="104">
        <v>0.2</v>
      </c>
      <c r="N95" s="104">
        <f t="shared" si="19"/>
        <v>3.3600000000000003</v>
      </c>
    </row>
    <row r="96" spans="2:14" ht="76.5">
      <c r="B96" s="109" t="s">
        <v>245</v>
      </c>
      <c r="C96" s="110" t="s">
        <v>658</v>
      </c>
      <c r="D96" s="111" t="s">
        <v>39</v>
      </c>
      <c r="E96" s="109" t="s">
        <v>542</v>
      </c>
      <c r="F96" s="104">
        <f t="shared" si="18"/>
        <v>96.73755000000001</v>
      </c>
      <c r="G96" s="109" t="s">
        <v>639</v>
      </c>
      <c r="H96" s="111">
        <v>88247</v>
      </c>
      <c r="I96" s="109" t="s">
        <v>640</v>
      </c>
      <c r="J96" s="109" t="s">
        <v>459</v>
      </c>
      <c r="K96" s="109" t="s">
        <v>547</v>
      </c>
      <c r="L96" s="111">
        <v>0.527</v>
      </c>
      <c r="M96" s="111">
        <v>20.42</v>
      </c>
      <c r="N96" s="104">
        <f t="shared" si="19"/>
        <v>10.76134</v>
      </c>
    </row>
    <row r="97" spans="2:14" ht="76.5">
      <c r="B97" s="109" t="s">
        <v>245</v>
      </c>
      <c r="C97" s="110" t="s">
        <v>658</v>
      </c>
      <c r="D97" s="111" t="s">
        <v>39</v>
      </c>
      <c r="E97" s="109" t="s">
        <v>542</v>
      </c>
      <c r="F97" s="104">
        <f t="shared" si="18"/>
        <v>96.73755000000001</v>
      </c>
      <c r="G97" s="109" t="s">
        <v>639</v>
      </c>
      <c r="H97" s="111">
        <v>88264</v>
      </c>
      <c r="I97" s="109" t="s">
        <v>641</v>
      </c>
      <c r="J97" s="109" t="s">
        <v>459</v>
      </c>
      <c r="K97" s="109" t="s">
        <v>547</v>
      </c>
      <c r="L97" s="111">
        <v>0.527</v>
      </c>
      <c r="M97" s="111">
        <v>23.23</v>
      </c>
      <c r="N97" s="104">
        <f t="shared" si="19"/>
        <v>12.24221</v>
      </c>
    </row>
    <row r="98" spans="2:14" ht="15">
      <c r="B98" s="108"/>
      <c r="C98" s="115"/>
      <c r="D98" s="108"/>
      <c r="E98" s="108"/>
      <c r="F98" s="108"/>
      <c r="G98" s="112"/>
      <c r="H98" s="108"/>
      <c r="I98" s="112"/>
      <c r="J98" s="113"/>
      <c r="K98" s="108"/>
      <c r="L98" s="113"/>
      <c r="M98" s="113"/>
      <c r="N98" s="104">
        <f>SUM(N91:N97)</f>
        <v>96.73755000000001</v>
      </c>
    </row>
    <row r="100" spans="2:14" ht="76.5">
      <c r="B100" s="109" t="s">
        <v>248</v>
      </c>
      <c r="C100" s="110" t="s">
        <v>660</v>
      </c>
      <c r="D100" s="111" t="s">
        <v>39</v>
      </c>
      <c r="E100" s="109" t="s">
        <v>542</v>
      </c>
      <c r="F100" s="104">
        <f aca="true" t="shared" si="20" ref="F100:F107">N$108</f>
        <v>106.81755</v>
      </c>
      <c r="G100" s="112"/>
      <c r="H100" s="108"/>
      <c r="I100" s="112"/>
      <c r="J100" s="113"/>
      <c r="K100" s="108"/>
      <c r="L100" s="113"/>
      <c r="M100" s="113"/>
      <c r="N100" s="114"/>
    </row>
    <row r="101" spans="2:14" ht="76.5">
      <c r="B101" s="109" t="s">
        <v>248</v>
      </c>
      <c r="C101" s="110" t="s">
        <v>660</v>
      </c>
      <c r="D101" s="111" t="s">
        <v>39</v>
      </c>
      <c r="E101" s="109" t="s">
        <v>542</v>
      </c>
      <c r="F101" s="104">
        <f t="shared" si="20"/>
        <v>106.81755</v>
      </c>
      <c r="G101" s="109" t="s">
        <v>536</v>
      </c>
      <c r="H101" s="111" t="s">
        <v>633</v>
      </c>
      <c r="I101" s="109" t="s">
        <v>661</v>
      </c>
      <c r="J101" s="109" t="s">
        <v>39</v>
      </c>
      <c r="K101" s="109" t="s">
        <v>633</v>
      </c>
      <c r="L101" s="111">
        <v>1</v>
      </c>
      <c r="M101" s="104">
        <v>51.07</v>
      </c>
      <c r="N101" s="104">
        <f aca="true" t="shared" si="21" ref="N101:N107">L101*M101</f>
        <v>51.07</v>
      </c>
    </row>
    <row r="102" spans="2:14" ht="76.5">
      <c r="B102" s="109" t="s">
        <v>248</v>
      </c>
      <c r="C102" s="110" t="s">
        <v>660</v>
      </c>
      <c r="D102" s="111" t="s">
        <v>39</v>
      </c>
      <c r="E102" s="109" t="s">
        <v>542</v>
      </c>
      <c r="F102" s="104">
        <f t="shared" si="20"/>
        <v>106.81755</v>
      </c>
      <c r="G102" s="109" t="s">
        <v>536</v>
      </c>
      <c r="H102" s="111" t="s">
        <v>633</v>
      </c>
      <c r="I102" s="109" t="s">
        <v>652</v>
      </c>
      <c r="J102" s="109" t="s">
        <v>39</v>
      </c>
      <c r="K102" s="109" t="s">
        <v>633</v>
      </c>
      <c r="L102" s="111">
        <v>4</v>
      </c>
      <c r="M102" s="104">
        <v>1.76</v>
      </c>
      <c r="N102" s="104">
        <f t="shared" si="21"/>
        <v>7.04</v>
      </c>
    </row>
    <row r="103" spans="2:14" ht="76.5">
      <c r="B103" s="109" t="s">
        <v>248</v>
      </c>
      <c r="C103" s="110" t="s">
        <v>660</v>
      </c>
      <c r="D103" s="111" t="s">
        <v>39</v>
      </c>
      <c r="E103" s="109" t="s">
        <v>542</v>
      </c>
      <c r="F103" s="104">
        <f t="shared" si="20"/>
        <v>106.81755</v>
      </c>
      <c r="G103" s="109" t="s">
        <v>536</v>
      </c>
      <c r="H103" s="111"/>
      <c r="I103" s="109" t="s">
        <v>646</v>
      </c>
      <c r="J103" s="109" t="s">
        <v>39</v>
      </c>
      <c r="K103" s="109" t="s">
        <v>633</v>
      </c>
      <c r="L103" s="111">
        <v>16.8</v>
      </c>
      <c r="M103" s="104">
        <v>0.53</v>
      </c>
      <c r="N103" s="104">
        <f t="shared" si="21"/>
        <v>8.904000000000002</v>
      </c>
    </row>
    <row r="104" spans="2:14" ht="76.5">
      <c r="B104" s="109" t="s">
        <v>248</v>
      </c>
      <c r="C104" s="110" t="s">
        <v>660</v>
      </c>
      <c r="D104" s="111" t="s">
        <v>39</v>
      </c>
      <c r="E104" s="109" t="s">
        <v>542</v>
      </c>
      <c r="F104" s="104">
        <f t="shared" si="20"/>
        <v>106.81755</v>
      </c>
      <c r="G104" s="109" t="s">
        <v>536</v>
      </c>
      <c r="H104" s="111"/>
      <c r="I104" s="109" t="s">
        <v>647</v>
      </c>
      <c r="J104" s="109" t="s">
        <v>39</v>
      </c>
      <c r="K104" s="109" t="s">
        <v>633</v>
      </c>
      <c r="L104" s="111">
        <v>16.8</v>
      </c>
      <c r="M104" s="104">
        <v>0.8</v>
      </c>
      <c r="N104" s="104">
        <f t="shared" si="21"/>
        <v>13.440000000000001</v>
      </c>
    </row>
    <row r="105" spans="2:14" ht="76.5">
      <c r="B105" s="109" t="s">
        <v>248</v>
      </c>
      <c r="C105" s="110" t="s">
        <v>660</v>
      </c>
      <c r="D105" s="111" t="s">
        <v>39</v>
      </c>
      <c r="E105" s="109" t="s">
        <v>542</v>
      </c>
      <c r="F105" s="104">
        <f t="shared" si="20"/>
        <v>106.81755</v>
      </c>
      <c r="G105" s="109" t="s">
        <v>536</v>
      </c>
      <c r="H105" s="111"/>
      <c r="I105" s="109" t="s">
        <v>648</v>
      </c>
      <c r="J105" s="109" t="s">
        <v>39</v>
      </c>
      <c r="K105" s="109" t="s">
        <v>633</v>
      </c>
      <c r="L105" s="111">
        <v>16.8</v>
      </c>
      <c r="M105" s="104">
        <v>0.2</v>
      </c>
      <c r="N105" s="104">
        <f t="shared" si="21"/>
        <v>3.3600000000000003</v>
      </c>
    </row>
    <row r="106" spans="2:14" ht="76.5">
      <c r="B106" s="109" t="s">
        <v>248</v>
      </c>
      <c r="C106" s="110" t="s">
        <v>660</v>
      </c>
      <c r="D106" s="111" t="s">
        <v>39</v>
      </c>
      <c r="E106" s="109" t="s">
        <v>542</v>
      </c>
      <c r="F106" s="104">
        <f t="shared" si="20"/>
        <v>106.81755</v>
      </c>
      <c r="G106" s="109" t="s">
        <v>639</v>
      </c>
      <c r="H106" s="111">
        <v>88247</v>
      </c>
      <c r="I106" s="109" t="s">
        <v>640</v>
      </c>
      <c r="J106" s="109" t="s">
        <v>459</v>
      </c>
      <c r="K106" s="109" t="s">
        <v>547</v>
      </c>
      <c r="L106" s="111">
        <v>0.527</v>
      </c>
      <c r="M106" s="111">
        <v>20.42</v>
      </c>
      <c r="N106" s="104">
        <f t="shared" si="21"/>
        <v>10.76134</v>
      </c>
    </row>
    <row r="107" spans="2:14" ht="76.5">
      <c r="B107" s="109" t="s">
        <v>248</v>
      </c>
      <c r="C107" s="110" t="s">
        <v>660</v>
      </c>
      <c r="D107" s="111" t="s">
        <v>39</v>
      </c>
      <c r="E107" s="109" t="s">
        <v>542</v>
      </c>
      <c r="F107" s="104">
        <f t="shared" si="20"/>
        <v>106.81755</v>
      </c>
      <c r="G107" s="109" t="s">
        <v>639</v>
      </c>
      <c r="H107" s="111">
        <v>88264</v>
      </c>
      <c r="I107" s="109" t="s">
        <v>641</v>
      </c>
      <c r="J107" s="109" t="s">
        <v>459</v>
      </c>
      <c r="K107" s="109" t="s">
        <v>547</v>
      </c>
      <c r="L107" s="111">
        <v>0.527</v>
      </c>
      <c r="M107" s="111">
        <v>23.23</v>
      </c>
      <c r="N107" s="104">
        <f t="shared" si="21"/>
        <v>12.24221</v>
      </c>
    </row>
    <row r="108" spans="2:14" ht="15">
      <c r="B108" s="108"/>
      <c r="C108" s="115"/>
      <c r="D108" s="108"/>
      <c r="E108" s="108"/>
      <c r="F108" s="108"/>
      <c r="G108" s="112"/>
      <c r="H108" s="108"/>
      <c r="I108" s="112"/>
      <c r="J108" s="113"/>
      <c r="K108" s="108"/>
      <c r="L108" s="113"/>
      <c r="M108" s="113"/>
      <c r="N108" s="104">
        <f>SUM(N101:N107)</f>
        <v>106.81755</v>
      </c>
    </row>
    <row r="110" spans="2:14" ht="63.75">
      <c r="B110" s="109" t="s">
        <v>251</v>
      </c>
      <c r="C110" s="110" t="s">
        <v>252</v>
      </c>
      <c r="D110" s="111" t="s">
        <v>39</v>
      </c>
      <c r="E110" s="109" t="s">
        <v>542</v>
      </c>
      <c r="F110" s="104">
        <f aca="true" t="shared" si="22" ref="F110:F117">N$118</f>
        <v>132.80755</v>
      </c>
      <c r="G110" s="112"/>
      <c r="H110" s="108"/>
      <c r="I110" s="112"/>
      <c r="J110" s="113"/>
      <c r="K110" s="108"/>
      <c r="L110" s="113"/>
      <c r="M110" s="113"/>
      <c r="N110" s="114"/>
    </row>
    <row r="111" spans="2:14" ht="63.75">
      <c r="B111" s="109" t="s">
        <v>251</v>
      </c>
      <c r="C111" s="110" t="s">
        <v>252</v>
      </c>
      <c r="D111" s="111" t="s">
        <v>39</v>
      </c>
      <c r="E111" s="109" t="s">
        <v>542</v>
      </c>
      <c r="F111" s="104">
        <f t="shared" si="22"/>
        <v>132.80755</v>
      </c>
      <c r="G111" s="109" t="s">
        <v>536</v>
      </c>
      <c r="H111" s="111" t="s">
        <v>633</v>
      </c>
      <c r="I111" s="110" t="s">
        <v>662</v>
      </c>
      <c r="J111" s="109" t="s">
        <v>39</v>
      </c>
      <c r="K111" s="109" t="s">
        <v>633</v>
      </c>
      <c r="L111" s="111">
        <v>1</v>
      </c>
      <c r="M111" s="104">
        <v>77.06</v>
      </c>
      <c r="N111" s="104">
        <f aca="true" t="shared" si="23" ref="N111:N117">L111*M111</f>
        <v>77.06</v>
      </c>
    </row>
    <row r="112" spans="2:14" ht="63.75">
      <c r="B112" s="109" t="s">
        <v>251</v>
      </c>
      <c r="C112" s="110" t="s">
        <v>252</v>
      </c>
      <c r="D112" s="111" t="s">
        <v>39</v>
      </c>
      <c r="E112" s="109" t="s">
        <v>542</v>
      </c>
      <c r="F112" s="104">
        <f t="shared" si="22"/>
        <v>132.80755</v>
      </c>
      <c r="G112" s="109" t="s">
        <v>536</v>
      </c>
      <c r="H112" s="111" t="s">
        <v>633</v>
      </c>
      <c r="I112" s="109" t="s">
        <v>652</v>
      </c>
      <c r="J112" s="109" t="s">
        <v>39</v>
      </c>
      <c r="K112" s="109" t="s">
        <v>633</v>
      </c>
      <c r="L112" s="111">
        <v>4</v>
      </c>
      <c r="M112" s="104">
        <v>1.76</v>
      </c>
      <c r="N112" s="104">
        <f t="shared" si="23"/>
        <v>7.04</v>
      </c>
    </row>
    <row r="113" spans="2:14" ht="63.75">
      <c r="B113" s="109" t="s">
        <v>251</v>
      </c>
      <c r="C113" s="110" t="s">
        <v>252</v>
      </c>
      <c r="D113" s="111" t="s">
        <v>39</v>
      </c>
      <c r="E113" s="109" t="s">
        <v>542</v>
      </c>
      <c r="F113" s="104">
        <f t="shared" si="22"/>
        <v>132.80755</v>
      </c>
      <c r="G113" s="109" t="s">
        <v>536</v>
      </c>
      <c r="H113" s="111"/>
      <c r="I113" s="109" t="s">
        <v>646</v>
      </c>
      <c r="J113" s="109" t="s">
        <v>39</v>
      </c>
      <c r="K113" s="109" t="s">
        <v>633</v>
      </c>
      <c r="L113" s="111">
        <v>16.8</v>
      </c>
      <c r="M113" s="104">
        <v>0.53</v>
      </c>
      <c r="N113" s="104">
        <f t="shared" si="23"/>
        <v>8.904000000000002</v>
      </c>
    </row>
    <row r="114" spans="2:14" ht="63.75">
      <c r="B114" s="109" t="s">
        <v>251</v>
      </c>
      <c r="C114" s="110" t="s">
        <v>252</v>
      </c>
      <c r="D114" s="111" t="s">
        <v>39</v>
      </c>
      <c r="E114" s="109" t="s">
        <v>542</v>
      </c>
      <c r="F114" s="104">
        <f t="shared" si="22"/>
        <v>132.80755</v>
      </c>
      <c r="G114" s="109" t="s">
        <v>536</v>
      </c>
      <c r="H114" s="111"/>
      <c r="I114" s="109" t="s">
        <v>647</v>
      </c>
      <c r="J114" s="109" t="s">
        <v>39</v>
      </c>
      <c r="K114" s="109" t="s">
        <v>633</v>
      </c>
      <c r="L114" s="111">
        <v>16.8</v>
      </c>
      <c r="M114" s="104">
        <v>0.8</v>
      </c>
      <c r="N114" s="104">
        <f t="shared" si="23"/>
        <v>13.440000000000001</v>
      </c>
    </row>
    <row r="115" spans="2:14" ht="63.75">
      <c r="B115" s="109" t="s">
        <v>251</v>
      </c>
      <c r="C115" s="110" t="s">
        <v>252</v>
      </c>
      <c r="D115" s="111" t="s">
        <v>39</v>
      </c>
      <c r="E115" s="109" t="s">
        <v>542</v>
      </c>
      <c r="F115" s="104">
        <f t="shared" si="22"/>
        <v>132.80755</v>
      </c>
      <c r="G115" s="109" t="s">
        <v>536</v>
      </c>
      <c r="H115" s="111"/>
      <c r="I115" s="109" t="s">
        <v>648</v>
      </c>
      <c r="J115" s="109" t="s">
        <v>39</v>
      </c>
      <c r="K115" s="109" t="s">
        <v>633</v>
      </c>
      <c r="L115" s="111">
        <v>16.8</v>
      </c>
      <c r="M115" s="104">
        <v>0.2</v>
      </c>
      <c r="N115" s="104">
        <f t="shared" si="23"/>
        <v>3.3600000000000003</v>
      </c>
    </row>
    <row r="116" spans="2:14" ht="63.75">
      <c r="B116" s="109" t="s">
        <v>251</v>
      </c>
      <c r="C116" s="110" t="s">
        <v>252</v>
      </c>
      <c r="D116" s="111" t="s">
        <v>39</v>
      </c>
      <c r="E116" s="109" t="s">
        <v>542</v>
      </c>
      <c r="F116" s="104">
        <f t="shared" si="22"/>
        <v>132.80755</v>
      </c>
      <c r="G116" s="109" t="s">
        <v>639</v>
      </c>
      <c r="H116" s="111">
        <v>88247</v>
      </c>
      <c r="I116" s="109" t="s">
        <v>640</v>
      </c>
      <c r="J116" s="109" t="s">
        <v>459</v>
      </c>
      <c r="K116" s="109" t="s">
        <v>547</v>
      </c>
      <c r="L116" s="111">
        <v>0.527</v>
      </c>
      <c r="M116" s="111">
        <v>20.42</v>
      </c>
      <c r="N116" s="104">
        <f t="shared" si="23"/>
        <v>10.76134</v>
      </c>
    </row>
    <row r="117" spans="2:14" ht="63.75">
      <c r="B117" s="109" t="s">
        <v>251</v>
      </c>
      <c r="C117" s="110" t="s">
        <v>252</v>
      </c>
      <c r="D117" s="111" t="s">
        <v>39</v>
      </c>
      <c r="E117" s="109" t="s">
        <v>542</v>
      </c>
      <c r="F117" s="104">
        <f t="shared" si="22"/>
        <v>132.80755</v>
      </c>
      <c r="G117" s="109" t="s">
        <v>639</v>
      </c>
      <c r="H117" s="111">
        <v>88264</v>
      </c>
      <c r="I117" s="109" t="s">
        <v>641</v>
      </c>
      <c r="J117" s="109" t="s">
        <v>459</v>
      </c>
      <c r="K117" s="109" t="s">
        <v>547</v>
      </c>
      <c r="L117" s="111">
        <v>0.527</v>
      </c>
      <c r="M117" s="111">
        <v>23.23</v>
      </c>
      <c r="N117" s="104">
        <f t="shared" si="23"/>
        <v>12.24221</v>
      </c>
    </row>
    <row r="118" spans="2:14" ht="15">
      <c r="B118" s="108"/>
      <c r="C118" s="115"/>
      <c r="D118" s="108"/>
      <c r="E118" s="108"/>
      <c r="F118" s="108"/>
      <c r="G118" s="112"/>
      <c r="H118" s="108"/>
      <c r="I118" s="112"/>
      <c r="J118" s="113"/>
      <c r="K118" s="108"/>
      <c r="L118" s="113"/>
      <c r="M118" s="113"/>
      <c r="N118" s="104">
        <f>SUM(N111:N117)</f>
        <v>132.80755</v>
      </c>
    </row>
    <row r="120" spans="2:14" ht="51">
      <c r="B120" s="109" t="s">
        <v>332</v>
      </c>
      <c r="C120" s="110" t="s">
        <v>333</v>
      </c>
      <c r="D120" s="111" t="s">
        <v>39</v>
      </c>
      <c r="E120" s="109" t="s">
        <v>453</v>
      </c>
      <c r="F120" s="104">
        <f>N$125</f>
        <v>145.87739499999998</v>
      </c>
      <c r="G120" s="112"/>
      <c r="H120" s="108"/>
      <c r="I120" s="112"/>
      <c r="J120" s="113"/>
      <c r="K120" s="108"/>
      <c r="L120" s="113"/>
      <c r="M120" s="113"/>
      <c r="N120" s="114"/>
    </row>
    <row r="121" spans="2:14" ht="51">
      <c r="B121" s="109" t="s">
        <v>332</v>
      </c>
      <c r="C121" s="110" t="s">
        <v>333</v>
      </c>
      <c r="D121" s="111" t="s">
        <v>39</v>
      </c>
      <c r="E121" s="109" t="s">
        <v>453</v>
      </c>
      <c r="F121" s="104">
        <f>N$125</f>
        <v>145.87739499999998</v>
      </c>
      <c r="G121" s="109" t="s">
        <v>536</v>
      </c>
      <c r="H121" s="111">
        <v>39445</v>
      </c>
      <c r="I121" s="110" t="s">
        <v>663</v>
      </c>
      <c r="J121" s="109" t="s">
        <v>39</v>
      </c>
      <c r="K121" s="109" t="s">
        <v>453</v>
      </c>
      <c r="L121" s="111">
        <v>1</v>
      </c>
      <c r="M121" s="104">
        <v>134.7</v>
      </c>
      <c r="N121" s="104">
        <f>L121*M121</f>
        <v>134.7</v>
      </c>
    </row>
    <row r="122" spans="2:14" ht="63.75">
      <c r="B122" s="109" t="s">
        <v>332</v>
      </c>
      <c r="C122" s="110" t="s">
        <v>333</v>
      </c>
      <c r="D122" s="111" t="s">
        <v>39</v>
      </c>
      <c r="E122" s="109" t="s">
        <v>453</v>
      </c>
      <c r="F122" s="104">
        <f>N$125</f>
        <v>145.87739499999998</v>
      </c>
      <c r="G122" s="109" t="s">
        <v>536</v>
      </c>
      <c r="H122" s="111">
        <v>1573</v>
      </c>
      <c r="I122" s="110" t="s">
        <v>664</v>
      </c>
      <c r="J122" s="109" t="s">
        <v>39</v>
      </c>
      <c r="K122" s="109" t="s">
        <v>542</v>
      </c>
      <c r="L122" s="111">
        <v>2</v>
      </c>
      <c r="M122" s="104">
        <v>1.61</v>
      </c>
      <c r="N122" s="104">
        <f>L122*M122</f>
        <v>3.22</v>
      </c>
    </row>
    <row r="123" spans="2:14" ht="63.75">
      <c r="B123" s="109" t="s">
        <v>332</v>
      </c>
      <c r="C123" s="110" t="s">
        <v>333</v>
      </c>
      <c r="D123" s="111" t="s">
        <v>39</v>
      </c>
      <c r="E123" s="109" t="s">
        <v>453</v>
      </c>
      <c r="F123" s="104">
        <f>N$125</f>
        <v>145.87739499999998</v>
      </c>
      <c r="G123" s="109" t="s">
        <v>639</v>
      </c>
      <c r="H123" s="111">
        <v>88247</v>
      </c>
      <c r="I123" s="109" t="s">
        <v>665</v>
      </c>
      <c r="J123" s="109" t="s">
        <v>459</v>
      </c>
      <c r="K123" s="109" t="s">
        <v>542</v>
      </c>
      <c r="L123" s="111">
        <v>0.1823</v>
      </c>
      <c r="M123" s="111">
        <v>20.42</v>
      </c>
      <c r="N123" s="104">
        <f>L123*M123</f>
        <v>3.722566</v>
      </c>
    </row>
    <row r="124" spans="2:14" ht="51">
      <c r="B124" s="109" t="s">
        <v>332</v>
      </c>
      <c r="C124" s="110" t="s">
        <v>333</v>
      </c>
      <c r="D124" s="111" t="s">
        <v>39</v>
      </c>
      <c r="E124" s="109" t="s">
        <v>453</v>
      </c>
      <c r="F124" s="104">
        <f>N$125</f>
        <v>145.87739499999998</v>
      </c>
      <c r="G124" s="109" t="s">
        <v>639</v>
      </c>
      <c r="H124" s="111">
        <v>88264</v>
      </c>
      <c r="I124" s="109" t="s">
        <v>641</v>
      </c>
      <c r="J124" s="109" t="s">
        <v>459</v>
      </c>
      <c r="K124" s="109" t="s">
        <v>547</v>
      </c>
      <c r="L124" s="111">
        <v>0.1823</v>
      </c>
      <c r="M124" s="111">
        <v>23.23</v>
      </c>
      <c r="N124" s="104">
        <f>L124*M124</f>
        <v>4.2348289999999995</v>
      </c>
    </row>
    <row r="125" spans="2:14" ht="15">
      <c r="B125" s="108"/>
      <c r="C125" s="115"/>
      <c r="D125" s="108"/>
      <c r="E125" s="108"/>
      <c r="F125" s="108"/>
      <c r="G125" s="112"/>
      <c r="H125" s="108"/>
      <c r="I125" s="112"/>
      <c r="J125" s="113"/>
      <c r="K125" s="108"/>
      <c r="L125" s="113"/>
      <c r="M125" s="113"/>
      <c r="N125" s="104">
        <f>SUM(N121:N124)</f>
        <v>145.87739499999998</v>
      </c>
    </row>
    <row r="127" spans="2:14" ht="51">
      <c r="B127" s="109" t="s">
        <v>335</v>
      </c>
      <c r="C127" s="110" t="s">
        <v>336</v>
      </c>
      <c r="D127" s="111" t="s">
        <v>39</v>
      </c>
      <c r="E127" s="109" t="s">
        <v>453</v>
      </c>
      <c r="F127" s="104">
        <f>N$132</f>
        <v>148.267395</v>
      </c>
      <c r="G127" s="112"/>
      <c r="H127" s="108"/>
      <c r="I127" s="112"/>
      <c r="J127" s="113"/>
      <c r="K127" s="108"/>
      <c r="L127" s="113"/>
      <c r="M127" s="113"/>
      <c r="N127" s="114"/>
    </row>
    <row r="128" spans="2:14" ht="51">
      <c r="B128" s="109" t="s">
        <v>335</v>
      </c>
      <c r="C128" s="110" t="s">
        <v>336</v>
      </c>
      <c r="D128" s="111" t="s">
        <v>39</v>
      </c>
      <c r="E128" s="109" t="s">
        <v>453</v>
      </c>
      <c r="F128" s="104">
        <f>N$132</f>
        <v>148.267395</v>
      </c>
      <c r="G128" s="109" t="s">
        <v>536</v>
      </c>
      <c r="H128" s="111">
        <v>39446</v>
      </c>
      <c r="I128" s="110" t="s">
        <v>666</v>
      </c>
      <c r="J128" s="109" t="s">
        <v>39</v>
      </c>
      <c r="K128" s="109" t="s">
        <v>453</v>
      </c>
      <c r="L128" s="111">
        <v>1</v>
      </c>
      <c r="M128" s="104">
        <v>137.09</v>
      </c>
      <c r="N128" s="104">
        <f>L128*M128</f>
        <v>137.09</v>
      </c>
    </row>
    <row r="129" spans="2:14" ht="63.75">
      <c r="B129" s="109" t="s">
        <v>335</v>
      </c>
      <c r="C129" s="110" t="s">
        <v>336</v>
      </c>
      <c r="D129" s="111" t="s">
        <v>39</v>
      </c>
      <c r="E129" s="109" t="s">
        <v>453</v>
      </c>
      <c r="F129" s="104">
        <f>N$132</f>
        <v>148.267395</v>
      </c>
      <c r="G129" s="109" t="s">
        <v>536</v>
      </c>
      <c r="H129" s="111">
        <v>1573</v>
      </c>
      <c r="I129" s="110" t="s">
        <v>664</v>
      </c>
      <c r="J129" s="109" t="s">
        <v>39</v>
      </c>
      <c r="K129" s="109" t="s">
        <v>542</v>
      </c>
      <c r="L129" s="111">
        <v>2</v>
      </c>
      <c r="M129" s="104">
        <v>1.61</v>
      </c>
      <c r="N129" s="104">
        <f>L129*M129</f>
        <v>3.22</v>
      </c>
    </row>
    <row r="130" spans="2:14" ht="63.75">
      <c r="B130" s="109" t="s">
        <v>335</v>
      </c>
      <c r="C130" s="110" t="s">
        <v>336</v>
      </c>
      <c r="D130" s="111" t="s">
        <v>39</v>
      </c>
      <c r="E130" s="109" t="s">
        <v>453</v>
      </c>
      <c r="F130" s="104">
        <f>N$132</f>
        <v>148.267395</v>
      </c>
      <c r="G130" s="109" t="s">
        <v>639</v>
      </c>
      <c r="H130" s="111">
        <v>88247</v>
      </c>
      <c r="I130" s="109" t="s">
        <v>665</v>
      </c>
      <c r="J130" s="109" t="s">
        <v>459</v>
      </c>
      <c r="K130" s="109" t="s">
        <v>542</v>
      </c>
      <c r="L130" s="111">
        <v>0.1823</v>
      </c>
      <c r="M130" s="111">
        <v>20.42</v>
      </c>
      <c r="N130" s="104">
        <f>L130*M130</f>
        <v>3.722566</v>
      </c>
    </row>
    <row r="131" spans="2:14" ht="51">
      <c r="B131" s="109" t="s">
        <v>335</v>
      </c>
      <c r="C131" s="110" t="s">
        <v>336</v>
      </c>
      <c r="D131" s="111" t="s">
        <v>39</v>
      </c>
      <c r="E131" s="109" t="s">
        <v>453</v>
      </c>
      <c r="F131" s="104">
        <f>N$132</f>
        <v>148.267395</v>
      </c>
      <c r="G131" s="109" t="s">
        <v>639</v>
      </c>
      <c r="H131" s="111">
        <v>88264</v>
      </c>
      <c r="I131" s="109" t="s">
        <v>641</v>
      </c>
      <c r="J131" s="109" t="s">
        <v>459</v>
      </c>
      <c r="K131" s="109" t="s">
        <v>547</v>
      </c>
      <c r="L131" s="111">
        <v>0.1823</v>
      </c>
      <c r="M131" s="111">
        <v>23.23</v>
      </c>
      <c r="N131" s="104">
        <f>L131*M131</f>
        <v>4.2348289999999995</v>
      </c>
    </row>
    <row r="132" spans="2:14" ht="15">
      <c r="B132" s="108"/>
      <c r="C132" s="115"/>
      <c r="D132" s="108"/>
      <c r="E132" s="108"/>
      <c r="F132" s="108"/>
      <c r="G132" s="112"/>
      <c r="H132" s="108"/>
      <c r="I132" s="112"/>
      <c r="J132" s="113"/>
      <c r="K132" s="108"/>
      <c r="L132" s="113"/>
      <c r="M132" s="113"/>
      <c r="N132" s="104">
        <f>SUM(N128:N131)</f>
        <v>148.267395</v>
      </c>
    </row>
    <row r="134" spans="2:14" ht="63.75">
      <c r="B134" s="109" t="s">
        <v>338</v>
      </c>
      <c r="C134" s="110" t="s">
        <v>339</v>
      </c>
      <c r="D134" s="111" t="s">
        <v>39</v>
      </c>
      <c r="E134" s="109" t="s">
        <v>453</v>
      </c>
      <c r="F134" s="104">
        <f>N$139</f>
        <v>273.86113299999994</v>
      </c>
      <c r="G134" s="112"/>
      <c r="H134" s="108"/>
      <c r="I134" s="112"/>
      <c r="J134" s="113"/>
      <c r="K134" s="108"/>
      <c r="L134" s="113"/>
      <c r="M134" s="113"/>
      <c r="N134" s="114"/>
    </row>
    <row r="135" spans="2:14" ht="63.75">
      <c r="B135" s="109" t="s">
        <v>338</v>
      </c>
      <c r="C135" s="110" t="s">
        <v>339</v>
      </c>
      <c r="D135" s="111" t="s">
        <v>39</v>
      </c>
      <c r="E135" s="109" t="s">
        <v>453</v>
      </c>
      <c r="F135" s="104">
        <f>N$139</f>
        <v>273.86113299999994</v>
      </c>
      <c r="G135" s="109" t="s">
        <v>536</v>
      </c>
      <c r="H135" s="111" t="s">
        <v>633</v>
      </c>
      <c r="I135" s="110" t="s">
        <v>667</v>
      </c>
      <c r="J135" s="109" t="s">
        <v>39</v>
      </c>
      <c r="K135" s="109" t="s">
        <v>453</v>
      </c>
      <c r="L135" s="111">
        <v>1</v>
      </c>
      <c r="M135" s="104">
        <v>240.35</v>
      </c>
      <c r="N135" s="104">
        <f>L135*M135</f>
        <v>240.35</v>
      </c>
    </row>
    <row r="136" spans="2:14" ht="63.75">
      <c r="B136" s="109" t="s">
        <v>338</v>
      </c>
      <c r="C136" s="110" t="s">
        <v>339</v>
      </c>
      <c r="D136" s="111" t="s">
        <v>39</v>
      </c>
      <c r="E136" s="109" t="s">
        <v>453</v>
      </c>
      <c r="F136" s="104">
        <f>N$139</f>
        <v>273.86113299999994</v>
      </c>
      <c r="G136" s="109" t="s">
        <v>536</v>
      </c>
      <c r="H136" s="111">
        <v>39386</v>
      </c>
      <c r="I136" s="110" t="s">
        <v>668</v>
      </c>
      <c r="J136" s="109" t="s">
        <v>39</v>
      </c>
      <c r="K136" s="109" t="s">
        <v>542</v>
      </c>
      <c r="L136" s="111">
        <v>2</v>
      </c>
      <c r="M136" s="104">
        <v>11.12</v>
      </c>
      <c r="N136" s="104">
        <f>L136*M136</f>
        <v>22.24</v>
      </c>
    </row>
    <row r="137" spans="2:14" ht="63.75">
      <c r="B137" s="109" t="s">
        <v>338</v>
      </c>
      <c r="C137" s="110" t="s">
        <v>339</v>
      </c>
      <c r="D137" s="111" t="s">
        <v>39</v>
      </c>
      <c r="E137" s="109" t="s">
        <v>453</v>
      </c>
      <c r="F137" s="104">
        <f>N$139</f>
        <v>273.86113299999994</v>
      </c>
      <c r="G137" s="109" t="s">
        <v>639</v>
      </c>
      <c r="H137" s="111">
        <v>88247</v>
      </c>
      <c r="I137" s="109" t="s">
        <v>665</v>
      </c>
      <c r="J137" s="109" t="s">
        <v>459</v>
      </c>
      <c r="K137" s="109" t="s">
        <v>542</v>
      </c>
      <c r="L137" s="111">
        <v>0.148</v>
      </c>
      <c r="M137" s="111">
        <v>20.42</v>
      </c>
      <c r="N137" s="104">
        <f>L137*M137</f>
        <v>3.02216</v>
      </c>
    </row>
    <row r="138" spans="2:14" ht="63.75">
      <c r="B138" s="109" t="s">
        <v>338</v>
      </c>
      <c r="C138" s="110" t="s">
        <v>339</v>
      </c>
      <c r="D138" s="111" t="s">
        <v>39</v>
      </c>
      <c r="E138" s="109" t="s">
        <v>453</v>
      </c>
      <c r="F138" s="104">
        <f>N$139</f>
        <v>273.86113299999994</v>
      </c>
      <c r="G138" s="109" t="s">
        <v>639</v>
      </c>
      <c r="H138" s="111">
        <v>88264</v>
      </c>
      <c r="I138" s="109" t="s">
        <v>641</v>
      </c>
      <c r="J138" s="109" t="s">
        <v>459</v>
      </c>
      <c r="K138" s="109" t="s">
        <v>547</v>
      </c>
      <c r="L138" s="111">
        <v>0.3551</v>
      </c>
      <c r="M138" s="111">
        <v>23.23</v>
      </c>
      <c r="N138" s="104">
        <f>L138*M138</f>
        <v>8.248973000000001</v>
      </c>
    </row>
    <row r="139" spans="2:14" ht="15">
      <c r="B139" s="108"/>
      <c r="C139" s="115"/>
      <c r="D139" s="108"/>
      <c r="E139" s="108"/>
      <c r="F139" s="108"/>
      <c r="G139" s="112"/>
      <c r="H139" s="108"/>
      <c r="I139" s="112"/>
      <c r="J139" s="113"/>
      <c r="K139" s="108"/>
      <c r="L139" s="113"/>
      <c r="M139" s="113"/>
      <c r="N139" s="104">
        <f>SUM(N135:N138)</f>
        <v>273.86113299999994</v>
      </c>
    </row>
    <row r="141" spans="2:14" ht="25.5">
      <c r="B141" s="109" t="s">
        <v>669</v>
      </c>
      <c r="C141" s="110" t="s">
        <v>670</v>
      </c>
      <c r="D141" s="111" t="s">
        <v>39</v>
      </c>
      <c r="E141" s="109" t="s">
        <v>453</v>
      </c>
      <c r="F141" s="104">
        <f>N$145</f>
        <v>80.15775000000001</v>
      </c>
      <c r="G141" s="112"/>
      <c r="H141" s="108"/>
      <c r="I141" s="112"/>
      <c r="J141" s="113"/>
      <c r="K141" s="108"/>
      <c r="L141" s="113"/>
      <c r="M141" s="113"/>
      <c r="N141" s="114"/>
    </row>
    <row r="142" spans="2:14" ht="25.5">
      <c r="B142" s="109" t="s">
        <v>669</v>
      </c>
      <c r="C142" s="110" t="s">
        <v>670</v>
      </c>
      <c r="D142" s="111" t="s">
        <v>39</v>
      </c>
      <c r="E142" s="109" t="s">
        <v>453</v>
      </c>
      <c r="F142" s="104">
        <f>N$145</f>
        <v>80.15775000000001</v>
      </c>
      <c r="G142" s="109" t="s">
        <v>536</v>
      </c>
      <c r="H142" s="111"/>
      <c r="I142" s="110" t="s">
        <v>670</v>
      </c>
      <c r="J142" s="109" t="s">
        <v>39</v>
      </c>
      <c r="K142" s="109" t="s">
        <v>453</v>
      </c>
      <c r="L142" s="111">
        <v>1</v>
      </c>
      <c r="M142" s="104">
        <v>69.9</v>
      </c>
      <c r="N142" s="104">
        <f>L142*M142</f>
        <v>69.9</v>
      </c>
    </row>
    <row r="143" spans="2:14" ht="63.75">
      <c r="B143" s="109" t="s">
        <v>669</v>
      </c>
      <c r="C143" s="110" t="s">
        <v>670</v>
      </c>
      <c r="D143" s="111" t="s">
        <v>39</v>
      </c>
      <c r="E143" s="109" t="s">
        <v>453</v>
      </c>
      <c r="F143" s="104">
        <f>N$145</f>
        <v>80.15775000000001</v>
      </c>
      <c r="G143" s="109" t="s">
        <v>639</v>
      </c>
      <c r="H143" s="111">
        <v>88247</v>
      </c>
      <c r="I143" s="109" t="s">
        <v>665</v>
      </c>
      <c r="J143" s="109" t="s">
        <v>459</v>
      </c>
      <c r="K143" s="109" t="s">
        <v>542</v>
      </c>
      <c r="L143" s="111">
        <v>0.235</v>
      </c>
      <c r="M143" s="111">
        <v>20.42</v>
      </c>
      <c r="N143" s="104">
        <f>L143*M143</f>
        <v>4.7987</v>
      </c>
    </row>
    <row r="144" spans="2:14" ht="25.5">
      <c r="B144" s="109" t="s">
        <v>669</v>
      </c>
      <c r="C144" s="110" t="s">
        <v>670</v>
      </c>
      <c r="D144" s="111" t="s">
        <v>39</v>
      </c>
      <c r="E144" s="109" t="s">
        <v>453</v>
      </c>
      <c r="F144" s="104">
        <f>N$145</f>
        <v>80.15775000000001</v>
      </c>
      <c r="G144" s="109" t="s">
        <v>639</v>
      </c>
      <c r="H144" s="111">
        <v>88264</v>
      </c>
      <c r="I144" s="109" t="s">
        <v>641</v>
      </c>
      <c r="J144" s="109" t="s">
        <v>459</v>
      </c>
      <c r="K144" s="109" t="s">
        <v>547</v>
      </c>
      <c r="L144" s="111">
        <v>0.235</v>
      </c>
      <c r="M144" s="111">
        <v>23.23</v>
      </c>
      <c r="N144" s="104">
        <f>L144*M144</f>
        <v>5.4590499999999995</v>
      </c>
    </row>
    <row r="145" spans="2:14" ht="15">
      <c r="B145" s="108"/>
      <c r="C145" s="115"/>
      <c r="D145" s="108"/>
      <c r="E145" s="108"/>
      <c r="F145" s="108"/>
      <c r="G145" s="112"/>
      <c r="H145" s="108"/>
      <c r="I145" s="112"/>
      <c r="J145" s="113"/>
      <c r="K145" s="108"/>
      <c r="L145" s="113"/>
      <c r="M145" s="113"/>
      <c r="N145" s="104">
        <f>SUM(N142:N144)</f>
        <v>80.15775000000001</v>
      </c>
    </row>
    <row r="147" spans="2:14" ht="25.5">
      <c r="B147" s="109" t="s">
        <v>390</v>
      </c>
      <c r="C147" s="110" t="s">
        <v>391</v>
      </c>
      <c r="D147" s="111" t="s">
        <v>39</v>
      </c>
      <c r="E147" s="109" t="s">
        <v>453</v>
      </c>
      <c r="F147" s="104">
        <f>N$151</f>
        <v>510.000535</v>
      </c>
      <c r="G147" s="112"/>
      <c r="H147" s="108"/>
      <c r="I147" s="112"/>
      <c r="J147" s="113"/>
      <c r="K147" s="108"/>
      <c r="L147" s="113"/>
      <c r="M147" s="113"/>
      <c r="N147" s="114"/>
    </row>
    <row r="148" spans="2:14" ht="25.5">
      <c r="B148" s="109" t="s">
        <v>390</v>
      </c>
      <c r="C148" s="110" t="s">
        <v>391</v>
      </c>
      <c r="D148" s="111" t="s">
        <v>39</v>
      </c>
      <c r="E148" s="109" t="s">
        <v>453</v>
      </c>
      <c r="F148" s="104">
        <f>N$151</f>
        <v>510.000535</v>
      </c>
      <c r="G148" s="109" t="s">
        <v>536</v>
      </c>
      <c r="H148" s="111"/>
      <c r="I148" s="117" t="s">
        <v>671</v>
      </c>
      <c r="J148" s="109" t="s">
        <v>39</v>
      </c>
      <c r="K148" s="109" t="s">
        <v>453</v>
      </c>
      <c r="L148" s="111">
        <v>1</v>
      </c>
      <c r="M148" s="104">
        <v>465.22</v>
      </c>
      <c r="N148" s="104">
        <f>L148*M148</f>
        <v>465.22</v>
      </c>
    </row>
    <row r="149" spans="2:14" ht="63.75">
      <c r="B149" s="109" t="s">
        <v>390</v>
      </c>
      <c r="C149" s="110" t="s">
        <v>391</v>
      </c>
      <c r="D149" s="111" t="s">
        <v>39</v>
      </c>
      <c r="E149" s="109" t="s">
        <v>453</v>
      </c>
      <c r="F149" s="104">
        <f>N$151</f>
        <v>510.000535</v>
      </c>
      <c r="G149" s="109" t="s">
        <v>639</v>
      </c>
      <c r="H149" s="111">
        <v>88247</v>
      </c>
      <c r="I149" s="109" t="s">
        <v>665</v>
      </c>
      <c r="J149" s="109" t="s">
        <v>459</v>
      </c>
      <c r="K149" s="109" t="s">
        <v>542</v>
      </c>
      <c r="L149" s="111">
        <v>1.0259</v>
      </c>
      <c r="M149" s="111">
        <v>20.42</v>
      </c>
      <c r="N149" s="104">
        <f>L149*M149</f>
        <v>20.948878000000004</v>
      </c>
    </row>
    <row r="150" spans="2:14" ht="25.5">
      <c r="B150" s="109" t="s">
        <v>390</v>
      </c>
      <c r="C150" s="110" t="s">
        <v>391</v>
      </c>
      <c r="D150" s="111" t="s">
        <v>39</v>
      </c>
      <c r="E150" s="109" t="s">
        <v>453</v>
      </c>
      <c r="F150" s="104">
        <f>N$151</f>
        <v>510.000535</v>
      </c>
      <c r="G150" s="109" t="s">
        <v>639</v>
      </c>
      <c r="H150" s="111">
        <v>88264</v>
      </c>
      <c r="I150" s="109" t="s">
        <v>641</v>
      </c>
      <c r="J150" s="109" t="s">
        <v>459</v>
      </c>
      <c r="K150" s="109" t="s">
        <v>547</v>
      </c>
      <c r="L150" s="111">
        <v>1.0259</v>
      </c>
      <c r="M150" s="111">
        <v>23.23</v>
      </c>
      <c r="N150" s="104">
        <f>L150*M150</f>
        <v>23.831657</v>
      </c>
    </row>
    <row r="151" spans="2:14" ht="15">
      <c r="B151" s="108"/>
      <c r="C151" s="115"/>
      <c r="D151" s="108"/>
      <c r="E151" s="108"/>
      <c r="F151" s="108"/>
      <c r="G151" s="112"/>
      <c r="H151" s="108"/>
      <c r="I151" s="112"/>
      <c r="J151" s="113"/>
      <c r="K151" s="108"/>
      <c r="L151" s="113"/>
      <c r="M151" s="113"/>
      <c r="N151" s="104">
        <f>SUM(N148:N150)</f>
        <v>510.000535</v>
      </c>
    </row>
    <row r="153" spans="2:14" ht="25.5">
      <c r="B153" s="109" t="s">
        <v>383</v>
      </c>
      <c r="C153" s="110" t="s">
        <v>384</v>
      </c>
      <c r="D153" s="111" t="s">
        <v>42</v>
      </c>
      <c r="E153" s="109" t="s">
        <v>453</v>
      </c>
      <c r="F153" s="104">
        <f>N$157</f>
        <v>10.826250000000002</v>
      </c>
      <c r="G153" s="112"/>
      <c r="H153" s="108"/>
      <c r="I153" s="112"/>
      <c r="J153" s="113"/>
      <c r="K153" s="108"/>
      <c r="L153" s="113"/>
      <c r="M153" s="113"/>
      <c r="N153" s="114"/>
    </row>
    <row r="154" spans="2:14" ht="25.5">
      <c r="B154" s="109" t="s">
        <v>383</v>
      </c>
      <c r="C154" s="110" t="s">
        <v>384</v>
      </c>
      <c r="D154" s="111" t="s">
        <v>42</v>
      </c>
      <c r="E154" s="109" t="s">
        <v>453</v>
      </c>
      <c r="F154" s="104">
        <f>N$157</f>
        <v>10.826250000000002</v>
      </c>
      <c r="G154" s="109" t="s">
        <v>536</v>
      </c>
      <c r="H154" s="111"/>
      <c r="I154" s="117" t="s">
        <v>672</v>
      </c>
      <c r="J154" s="109" t="s">
        <v>39</v>
      </c>
      <c r="K154" s="109" t="s">
        <v>453</v>
      </c>
      <c r="L154" s="111">
        <v>1.05</v>
      </c>
      <c r="M154" s="104">
        <v>8.44</v>
      </c>
      <c r="N154" s="104">
        <f>L154*M154</f>
        <v>8.862</v>
      </c>
    </row>
    <row r="155" spans="2:14" ht="63.75">
      <c r="B155" s="109" t="s">
        <v>383</v>
      </c>
      <c r="C155" s="110" t="s">
        <v>384</v>
      </c>
      <c r="D155" s="111" t="s">
        <v>42</v>
      </c>
      <c r="E155" s="109" t="s">
        <v>453</v>
      </c>
      <c r="F155" s="104">
        <f>N$157</f>
        <v>10.826250000000002</v>
      </c>
      <c r="G155" s="109" t="s">
        <v>639</v>
      </c>
      <c r="H155" s="111">
        <v>88247</v>
      </c>
      <c r="I155" s="109" t="s">
        <v>665</v>
      </c>
      <c r="J155" s="109" t="s">
        <v>459</v>
      </c>
      <c r="K155" s="109" t="s">
        <v>542</v>
      </c>
      <c r="L155" s="111">
        <v>0.045</v>
      </c>
      <c r="M155" s="111">
        <v>20.42</v>
      </c>
      <c r="N155" s="104">
        <f>L155*M155</f>
        <v>0.9189</v>
      </c>
    </row>
    <row r="156" spans="2:14" ht="25.5">
      <c r="B156" s="109" t="s">
        <v>383</v>
      </c>
      <c r="C156" s="110" t="s">
        <v>384</v>
      </c>
      <c r="D156" s="111" t="s">
        <v>42</v>
      </c>
      <c r="E156" s="109" t="s">
        <v>453</v>
      </c>
      <c r="F156" s="104">
        <f>N$157</f>
        <v>10.826250000000002</v>
      </c>
      <c r="G156" s="109" t="s">
        <v>639</v>
      </c>
      <c r="H156" s="111">
        <v>88264</v>
      </c>
      <c r="I156" s="109" t="s">
        <v>641</v>
      </c>
      <c r="J156" s="109" t="s">
        <v>459</v>
      </c>
      <c r="K156" s="109" t="s">
        <v>547</v>
      </c>
      <c r="L156" s="111">
        <v>0.045</v>
      </c>
      <c r="M156" s="111">
        <v>23.23</v>
      </c>
      <c r="N156" s="104">
        <f>L156*M156</f>
        <v>1.04535</v>
      </c>
    </row>
    <row r="157" spans="2:14" ht="15">
      <c r="B157" s="108"/>
      <c r="C157" s="115"/>
      <c r="D157" s="108"/>
      <c r="E157" s="108"/>
      <c r="F157" s="108"/>
      <c r="G157" s="112"/>
      <c r="H157" s="108"/>
      <c r="I157" s="112"/>
      <c r="J157" s="113"/>
      <c r="K157" s="108"/>
      <c r="L157" s="113"/>
      <c r="M157" s="113"/>
      <c r="N157" s="104">
        <f>SUM(N154:N156)</f>
        <v>10.826250000000002</v>
      </c>
    </row>
    <row r="159" spans="2:14" ht="25.5">
      <c r="B159" s="109" t="s">
        <v>386</v>
      </c>
      <c r="C159" s="118" t="s">
        <v>387</v>
      </c>
      <c r="D159" s="111" t="s">
        <v>388</v>
      </c>
      <c r="E159" s="109" t="s">
        <v>453</v>
      </c>
      <c r="F159" s="104">
        <f>N$162</f>
        <v>109.125</v>
      </c>
      <c r="G159" s="112"/>
      <c r="H159" s="108"/>
      <c r="I159" s="112"/>
      <c r="J159" s="113"/>
      <c r="K159" s="108"/>
      <c r="L159" s="113"/>
      <c r="M159" s="113"/>
      <c r="N159" s="114"/>
    </row>
    <row r="160" spans="2:14" ht="63.75">
      <c r="B160" s="109" t="s">
        <v>386</v>
      </c>
      <c r="C160" s="118" t="s">
        <v>387</v>
      </c>
      <c r="D160" s="111" t="s">
        <v>388</v>
      </c>
      <c r="E160" s="109" t="s">
        <v>453</v>
      </c>
      <c r="F160" s="104">
        <f>N$162</f>
        <v>109.125</v>
      </c>
      <c r="G160" s="109" t="s">
        <v>639</v>
      </c>
      <c r="H160" s="111">
        <v>88247</v>
      </c>
      <c r="I160" s="109" t="s">
        <v>665</v>
      </c>
      <c r="J160" s="109" t="s">
        <v>459</v>
      </c>
      <c r="K160" s="109" t="s">
        <v>542</v>
      </c>
      <c r="L160" s="111">
        <v>2.5</v>
      </c>
      <c r="M160" s="111">
        <v>20.42</v>
      </c>
      <c r="N160" s="104">
        <f>L160*M160</f>
        <v>51.050000000000004</v>
      </c>
    </row>
    <row r="161" spans="2:14" ht="25.5">
      <c r="B161" s="109" t="s">
        <v>386</v>
      </c>
      <c r="C161" s="118" t="s">
        <v>387</v>
      </c>
      <c r="D161" s="111" t="s">
        <v>388</v>
      </c>
      <c r="E161" s="109" t="s">
        <v>453</v>
      </c>
      <c r="F161" s="104">
        <f>N$162</f>
        <v>109.125</v>
      </c>
      <c r="G161" s="109" t="s">
        <v>639</v>
      </c>
      <c r="H161" s="111">
        <v>88264</v>
      </c>
      <c r="I161" s="109" t="s">
        <v>641</v>
      </c>
      <c r="J161" s="109" t="s">
        <v>459</v>
      </c>
      <c r="K161" s="109" t="s">
        <v>547</v>
      </c>
      <c r="L161" s="111">
        <v>2.5</v>
      </c>
      <c r="M161" s="111">
        <v>23.23</v>
      </c>
      <c r="N161" s="104">
        <f>L161*M161</f>
        <v>58.075</v>
      </c>
    </row>
    <row r="162" spans="2:14" ht="15">
      <c r="B162" s="108"/>
      <c r="C162" s="115"/>
      <c r="D162" s="108"/>
      <c r="E162" s="108"/>
      <c r="F162" s="108"/>
      <c r="G162" s="112"/>
      <c r="H162" s="108"/>
      <c r="I162" s="112"/>
      <c r="J162" s="113"/>
      <c r="K162" s="108"/>
      <c r="L162" s="113"/>
      <c r="M162" s="113"/>
      <c r="N162" s="104">
        <f>SUM(N160:N161)</f>
        <v>109.125</v>
      </c>
    </row>
    <row r="164" spans="2:14" ht="76.5">
      <c r="B164" s="109" t="s">
        <v>370</v>
      </c>
      <c r="C164" s="110" t="s">
        <v>673</v>
      </c>
      <c r="D164" s="111" t="s">
        <v>39</v>
      </c>
      <c r="E164" s="109" t="s">
        <v>542</v>
      </c>
      <c r="F164" s="104">
        <f aca="true" t="shared" si="24" ref="F164:F171">N$172</f>
        <v>93.64755000000001</v>
      </c>
      <c r="G164" s="112"/>
      <c r="H164" s="108"/>
      <c r="I164" s="112"/>
      <c r="J164" s="113"/>
      <c r="K164" s="108"/>
      <c r="L164" s="113"/>
      <c r="M164" s="113"/>
      <c r="N164" s="114"/>
    </row>
    <row r="165" spans="2:14" ht="76.5">
      <c r="B165" s="109" t="s">
        <v>370</v>
      </c>
      <c r="C165" s="110" t="s">
        <v>673</v>
      </c>
      <c r="D165" s="111" t="s">
        <v>39</v>
      </c>
      <c r="E165" s="109" t="s">
        <v>542</v>
      </c>
      <c r="F165" s="104">
        <f t="shared" si="24"/>
        <v>93.64755000000001</v>
      </c>
      <c r="G165" s="109" t="s">
        <v>536</v>
      </c>
      <c r="H165" s="111" t="s">
        <v>633</v>
      </c>
      <c r="I165" s="109" t="s">
        <v>674</v>
      </c>
      <c r="J165" s="109" t="s">
        <v>39</v>
      </c>
      <c r="K165" s="109" t="s">
        <v>633</v>
      </c>
      <c r="L165" s="111">
        <v>1</v>
      </c>
      <c r="M165" s="104">
        <v>37.9</v>
      </c>
      <c r="N165" s="104">
        <f aca="true" t="shared" si="25" ref="N165:N171">L165*M165</f>
        <v>37.9</v>
      </c>
    </row>
    <row r="166" spans="2:14" ht="76.5">
      <c r="B166" s="109" t="s">
        <v>370</v>
      </c>
      <c r="C166" s="110" t="s">
        <v>673</v>
      </c>
      <c r="D166" s="111" t="s">
        <v>39</v>
      </c>
      <c r="E166" s="109" t="s">
        <v>542</v>
      </c>
      <c r="F166" s="104">
        <f t="shared" si="24"/>
        <v>93.64755000000001</v>
      </c>
      <c r="G166" s="109" t="s">
        <v>536</v>
      </c>
      <c r="H166" s="111" t="s">
        <v>633</v>
      </c>
      <c r="I166" s="109" t="s">
        <v>652</v>
      </c>
      <c r="J166" s="109" t="s">
        <v>39</v>
      </c>
      <c r="K166" s="109" t="s">
        <v>633</v>
      </c>
      <c r="L166" s="111">
        <v>4</v>
      </c>
      <c r="M166" s="104">
        <v>1.76</v>
      </c>
      <c r="N166" s="104">
        <f t="shared" si="25"/>
        <v>7.04</v>
      </c>
    </row>
    <row r="167" spans="2:14" ht="76.5">
      <c r="B167" s="109" t="s">
        <v>370</v>
      </c>
      <c r="C167" s="110" t="s">
        <v>673</v>
      </c>
      <c r="D167" s="111" t="s">
        <v>39</v>
      </c>
      <c r="E167" s="109" t="s">
        <v>542</v>
      </c>
      <c r="F167" s="104">
        <f t="shared" si="24"/>
        <v>93.64755000000001</v>
      </c>
      <c r="G167" s="109" t="s">
        <v>536</v>
      </c>
      <c r="H167" s="111"/>
      <c r="I167" s="109" t="s">
        <v>646</v>
      </c>
      <c r="J167" s="109" t="s">
        <v>39</v>
      </c>
      <c r="K167" s="109" t="s">
        <v>633</v>
      </c>
      <c r="L167" s="111">
        <v>16.8</v>
      </c>
      <c r="M167" s="104">
        <v>0.53</v>
      </c>
      <c r="N167" s="104">
        <f t="shared" si="25"/>
        <v>8.904000000000002</v>
      </c>
    </row>
    <row r="168" spans="2:14" ht="76.5">
      <c r="B168" s="109" t="s">
        <v>370</v>
      </c>
      <c r="C168" s="110" t="s">
        <v>673</v>
      </c>
      <c r="D168" s="111" t="s">
        <v>39</v>
      </c>
      <c r="E168" s="109" t="s">
        <v>542</v>
      </c>
      <c r="F168" s="104">
        <f t="shared" si="24"/>
        <v>93.64755000000001</v>
      </c>
      <c r="G168" s="109" t="s">
        <v>536</v>
      </c>
      <c r="H168" s="111"/>
      <c r="I168" s="109" t="s">
        <v>647</v>
      </c>
      <c r="J168" s="109" t="s">
        <v>39</v>
      </c>
      <c r="K168" s="109" t="s">
        <v>633</v>
      </c>
      <c r="L168" s="111">
        <v>16.8</v>
      </c>
      <c r="M168" s="104">
        <v>0.8</v>
      </c>
      <c r="N168" s="104">
        <f t="shared" si="25"/>
        <v>13.440000000000001</v>
      </c>
    </row>
    <row r="169" spans="2:14" ht="76.5">
      <c r="B169" s="109" t="s">
        <v>370</v>
      </c>
      <c r="C169" s="110" t="s">
        <v>673</v>
      </c>
      <c r="D169" s="111" t="s">
        <v>39</v>
      </c>
      <c r="E169" s="109" t="s">
        <v>542</v>
      </c>
      <c r="F169" s="104">
        <f t="shared" si="24"/>
        <v>93.64755000000001</v>
      </c>
      <c r="G169" s="109" t="s">
        <v>536</v>
      </c>
      <c r="H169" s="111"/>
      <c r="I169" s="109" t="s">
        <v>648</v>
      </c>
      <c r="J169" s="109" t="s">
        <v>39</v>
      </c>
      <c r="K169" s="109" t="s">
        <v>633</v>
      </c>
      <c r="L169" s="111">
        <v>16.8</v>
      </c>
      <c r="M169" s="104">
        <v>0.2</v>
      </c>
      <c r="N169" s="104">
        <f t="shared" si="25"/>
        <v>3.3600000000000003</v>
      </c>
    </row>
    <row r="170" spans="2:14" ht="76.5">
      <c r="B170" s="109" t="s">
        <v>370</v>
      </c>
      <c r="C170" s="110" t="s">
        <v>673</v>
      </c>
      <c r="D170" s="111" t="s">
        <v>39</v>
      </c>
      <c r="E170" s="109" t="s">
        <v>542</v>
      </c>
      <c r="F170" s="104">
        <f t="shared" si="24"/>
        <v>93.64755000000001</v>
      </c>
      <c r="G170" s="109" t="s">
        <v>639</v>
      </c>
      <c r="H170" s="111">
        <v>88247</v>
      </c>
      <c r="I170" s="109" t="s">
        <v>640</v>
      </c>
      <c r="J170" s="109" t="s">
        <v>459</v>
      </c>
      <c r="K170" s="109" t="s">
        <v>547</v>
      </c>
      <c r="L170" s="111">
        <v>0.527</v>
      </c>
      <c r="M170" s="111">
        <v>20.42</v>
      </c>
      <c r="N170" s="104">
        <f t="shared" si="25"/>
        <v>10.76134</v>
      </c>
    </row>
    <row r="171" spans="2:14" ht="76.5">
      <c r="B171" s="109" t="s">
        <v>370</v>
      </c>
      <c r="C171" s="110" t="s">
        <v>673</v>
      </c>
      <c r="D171" s="111" t="s">
        <v>39</v>
      </c>
      <c r="E171" s="109" t="s">
        <v>542</v>
      </c>
      <c r="F171" s="104">
        <f t="shared" si="24"/>
        <v>93.64755000000001</v>
      </c>
      <c r="G171" s="109" t="s">
        <v>639</v>
      </c>
      <c r="H171" s="111">
        <v>88264</v>
      </c>
      <c r="I171" s="109" t="s">
        <v>641</v>
      </c>
      <c r="J171" s="109" t="s">
        <v>459</v>
      </c>
      <c r="K171" s="109" t="s">
        <v>547</v>
      </c>
      <c r="L171" s="111">
        <v>0.527</v>
      </c>
      <c r="M171" s="111">
        <v>23.23</v>
      </c>
      <c r="N171" s="104">
        <f t="shared" si="25"/>
        <v>12.24221</v>
      </c>
    </row>
    <row r="172" spans="2:14" ht="15">
      <c r="B172" s="108"/>
      <c r="C172" s="115"/>
      <c r="D172" s="108"/>
      <c r="E172" s="108"/>
      <c r="F172" s="108"/>
      <c r="G172" s="112"/>
      <c r="H172" s="108"/>
      <c r="I172" s="112"/>
      <c r="J172" s="113"/>
      <c r="K172" s="108"/>
      <c r="L172" s="113"/>
      <c r="M172" s="113"/>
      <c r="N172" s="104">
        <f>SUM(N165:N171)</f>
        <v>93.64755000000001</v>
      </c>
    </row>
    <row r="174" spans="2:14" ht="25.5">
      <c r="B174" s="109" t="s">
        <v>675</v>
      </c>
      <c r="C174" s="119" t="s">
        <v>676</v>
      </c>
      <c r="D174" s="120" t="s">
        <v>39</v>
      </c>
      <c r="E174" s="121" t="s">
        <v>453</v>
      </c>
      <c r="F174" s="122">
        <f>N$178</f>
        <v>159.76773000000003</v>
      </c>
      <c r="G174" s="112"/>
      <c r="H174" s="108"/>
      <c r="I174" s="112"/>
      <c r="J174" s="113"/>
      <c r="K174" s="108"/>
      <c r="L174" s="113"/>
      <c r="M174" s="113"/>
      <c r="N174" s="114"/>
    </row>
    <row r="175" spans="2:14" ht="63.75">
      <c r="B175" s="109" t="s">
        <v>675</v>
      </c>
      <c r="C175" s="119" t="s">
        <v>676</v>
      </c>
      <c r="D175" s="120" t="s">
        <v>39</v>
      </c>
      <c r="E175" s="121" t="s">
        <v>453</v>
      </c>
      <c r="F175" s="122">
        <f>N$178</f>
        <v>159.76773000000003</v>
      </c>
      <c r="G175" s="121" t="s">
        <v>558</v>
      </c>
      <c r="H175" s="120">
        <v>91677</v>
      </c>
      <c r="I175" s="121" t="s">
        <v>677</v>
      </c>
      <c r="J175" s="121" t="s">
        <v>459</v>
      </c>
      <c r="K175" s="121" t="s">
        <v>542</v>
      </c>
      <c r="L175" s="120">
        <v>0</v>
      </c>
      <c r="M175" s="122">
        <v>97.75</v>
      </c>
      <c r="N175" s="122">
        <f>L175*M175</f>
        <v>0</v>
      </c>
    </row>
    <row r="176" spans="2:14" ht="63.75">
      <c r="B176" s="109" t="s">
        <v>675</v>
      </c>
      <c r="C176" s="119" t="s">
        <v>676</v>
      </c>
      <c r="D176" s="120" t="s">
        <v>39</v>
      </c>
      <c r="E176" s="121" t="s">
        <v>453</v>
      </c>
      <c r="F176" s="122">
        <f>N$178</f>
        <v>159.76773000000003</v>
      </c>
      <c r="G176" s="121" t="s">
        <v>639</v>
      </c>
      <c r="H176" s="120">
        <v>88247</v>
      </c>
      <c r="I176" s="121" t="s">
        <v>665</v>
      </c>
      <c r="J176" s="121" t="s">
        <v>459</v>
      </c>
      <c r="K176" s="121" t="s">
        <v>542</v>
      </c>
      <c r="L176" s="120">
        <v>3.6602</v>
      </c>
      <c r="M176" s="111">
        <v>20.42</v>
      </c>
      <c r="N176" s="122">
        <f>L176*M176</f>
        <v>74.74128400000001</v>
      </c>
    </row>
    <row r="177" spans="2:14" ht="25.5">
      <c r="B177" s="109" t="s">
        <v>675</v>
      </c>
      <c r="C177" s="119" t="s">
        <v>676</v>
      </c>
      <c r="D177" s="120" t="s">
        <v>39</v>
      </c>
      <c r="E177" s="121" t="s">
        <v>453</v>
      </c>
      <c r="F177" s="122">
        <f>N$178</f>
        <v>159.76773000000003</v>
      </c>
      <c r="G177" s="121" t="s">
        <v>639</v>
      </c>
      <c r="H177" s="120">
        <v>88264</v>
      </c>
      <c r="I177" s="121" t="s">
        <v>641</v>
      </c>
      <c r="J177" s="121" t="s">
        <v>459</v>
      </c>
      <c r="K177" s="121" t="s">
        <v>547</v>
      </c>
      <c r="L177" s="120">
        <v>3.6602</v>
      </c>
      <c r="M177" s="111">
        <v>23.23</v>
      </c>
      <c r="N177" s="122">
        <f>L177*M177</f>
        <v>85.026446</v>
      </c>
    </row>
    <row r="178" spans="2:14" ht="15">
      <c r="B178" s="108"/>
      <c r="C178" s="115"/>
      <c r="D178" s="108"/>
      <c r="E178" s="108"/>
      <c r="F178" s="108"/>
      <c r="G178" s="112"/>
      <c r="H178" s="108"/>
      <c r="I178" s="112"/>
      <c r="J178" s="113"/>
      <c r="K178" s="108"/>
      <c r="L178" s="113"/>
      <c r="M178" s="113"/>
      <c r="N178" s="122">
        <f>SUM(N175:N177)</f>
        <v>159.76773000000003</v>
      </c>
    </row>
    <row r="180" spans="2:14" ht="38.25">
      <c r="B180" s="109" t="s">
        <v>678</v>
      </c>
      <c r="C180" s="119" t="s">
        <v>679</v>
      </c>
      <c r="D180" s="111" t="s">
        <v>39</v>
      </c>
      <c r="E180" s="109" t="s">
        <v>453</v>
      </c>
      <c r="F180" s="104">
        <f>N$185</f>
        <v>43.01858</v>
      </c>
      <c r="G180" s="112"/>
      <c r="H180" s="108"/>
      <c r="I180" s="112"/>
      <c r="J180" s="113"/>
      <c r="K180" s="108"/>
      <c r="L180" s="113"/>
      <c r="M180" s="113"/>
      <c r="N180" s="114"/>
    </row>
    <row r="181" spans="2:14" ht="38.25">
      <c r="B181" s="109" t="s">
        <v>678</v>
      </c>
      <c r="C181" s="119" t="s">
        <v>679</v>
      </c>
      <c r="D181" s="111" t="s">
        <v>39</v>
      </c>
      <c r="E181" s="109" t="s">
        <v>453</v>
      </c>
      <c r="F181" s="104">
        <f>N$185</f>
        <v>43.01858</v>
      </c>
      <c r="G181" s="109" t="s">
        <v>536</v>
      </c>
      <c r="H181" s="111"/>
      <c r="I181" s="121" t="s">
        <v>680</v>
      </c>
      <c r="J181" s="109" t="s">
        <v>39</v>
      </c>
      <c r="K181" s="109" t="s">
        <v>453</v>
      </c>
      <c r="L181" s="111">
        <v>1</v>
      </c>
      <c r="M181" s="104">
        <v>31.9</v>
      </c>
      <c r="N181" s="104">
        <f>L181*M181</f>
        <v>31.9</v>
      </c>
    </row>
    <row r="182" spans="2:14" ht="63.75">
      <c r="B182" s="109" t="s">
        <v>678</v>
      </c>
      <c r="C182" s="119" t="s">
        <v>679</v>
      </c>
      <c r="D182" s="111" t="s">
        <v>39</v>
      </c>
      <c r="E182" s="109" t="s">
        <v>453</v>
      </c>
      <c r="F182" s="104">
        <f>N$185</f>
        <v>43.01858</v>
      </c>
      <c r="G182" s="109" t="s">
        <v>536</v>
      </c>
      <c r="H182" s="111">
        <v>1576</v>
      </c>
      <c r="I182" s="121" t="s">
        <v>681</v>
      </c>
      <c r="J182" s="109" t="s">
        <v>39</v>
      </c>
      <c r="K182" s="109" t="s">
        <v>542</v>
      </c>
      <c r="L182" s="111">
        <v>1</v>
      </c>
      <c r="M182" s="104">
        <v>2.86</v>
      </c>
      <c r="N182" s="104">
        <f>L182*M182</f>
        <v>2.86</v>
      </c>
    </row>
    <row r="183" spans="2:14" ht="63.75">
      <c r="B183" s="109" t="s">
        <v>678</v>
      </c>
      <c r="C183" s="119" t="s">
        <v>679</v>
      </c>
      <c r="D183" s="111" t="s">
        <v>39</v>
      </c>
      <c r="E183" s="109" t="s">
        <v>453</v>
      </c>
      <c r="F183" s="104">
        <f>N$185</f>
        <v>43.01858</v>
      </c>
      <c r="G183" s="109" t="s">
        <v>639</v>
      </c>
      <c r="H183" s="111">
        <v>88247</v>
      </c>
      <c r="I183" s="109" t="s">
        <v>665</v>
      </c>
      <c r="J183" s="109" t="s">
        <v>459</v>
      </c>
      <c r="K183" s="109" t="s">
        <v>542</v>
      </c>
      <c r="L183" s="111">
        <v>0.1892</v>
      </c>
      <c r="M183" s="111">
        <v>20.42</v>
      </c>
      <c r="N183" s="104">
        <f>L183*M183</f>
        <v>3.8634640000000005</v>
      </c>
    </row>
    <row r="184" spans="2:14" ht="38.25">
      <c r="B184" s="109" t="s">
        <v>678</v>
      </c>
      <c r="C184" s="119" t="s">
        <v>679</v>
      </c>
      <c r="D184" s="111" t="s">
        <v>39</v>
      </c>
      <c r="E184" s="109" t="s">
        <v>453</v>
      </c>
      <c r="F184" s="104">
        <f>N$185</f>
        <v>43.01858</v>
      </c>
      <c r="G184" s="109" t="s">
        <v>639</v>
      </c>
      <c r="H184" s="111">
        <v>88264</v>
      </c>
      <c r="I184" s="109" t="s">
        <v>641</v>
      </c>
      <c r="J184" s="109" t="s">
        <v>459</v>
      </c>
      <c r="K184" s="109" t="s">
        <v>547</v>
      </c>
      <c r="L184" s="111">
        <v>0.1892</v>
      </c>
      <c r="M184" s="111">
        <v>23.23</v>
      </c>
      <c r="N184" s="104">
        <f>L184*M184</f>
        <v>4.395116</v>
      </c>
    </row>
    <row r="185" spans="2:14" ht="15">
      <c r="B185" s="108"/>
      <c r="C185" s="115"/>
      <c r="D185" s="108"/>
      <c r="E185" s="108"/>
      <c r="F185" s="108"/>
      <c r="G185" s="112"/>
      <c r="H185" s="108"/>
      <c r="I185" s="112"/>
      <c r="J185" s="113"/>
      <c r="K185" s="108"/>
      <c r="L185" s="113"/>
      <c r="M185" s="113"/>
      <c r="N185" s="104">
        <f>SUM(N181:N184)</f>
        <v>43.01858</v>
      </c>
    </row>
    <row r="187" spans="2:14" ht="38.25">
      <c r="B187" s="109" t="s">
        <v>682</v>
      </c>
      <c r="C187" s="110" t="s">
        <v>342</v>
      </c>
      <c r="D187" s="111" t="s">
        <v>39</v>
      </c>
      <c r="E187" s="109" t="s">
        <v>453</v>
      </c>
      <c r="F187" s="104">
        <f>N$192</f>
        <v>118.23536700000001</v>
      </c>
      <c r="G187" s="112"/>
      <c r="H187" s="108"/>
      <c r="I187" s="112"/>
      <c r="J187" s="113"/>
      <c r="K187" s="108"/>
      <c r="L187" s="113"/>
      <c r="M187" s="113"/>
      <c r="N187" s="114"/>
    </row>
    <row r="188" spans="2:14" ht="63.75">
      <c r="B188" s="109" t="s">
        <v>682</v>
      </c>
      <c r="C188" s="110" t="s">
        <v>342</v>
      </c>
      <c r="D188" s="111" t="s">
        <v>39</v>
      </c>
      <c r="E188" s="109" t="s">
        <v>453</v>
      </c>
      <c r="F188" s="104">
        <f>N$192</f>
        <v>118.23536700000001</v>
      </c>
      <c r="G188" s="109" t="s">
        <v>536</v>
      </c>
      <c r="H188" s="111">
        <v>3803</v>
      </c>
      <c r="I188" s="110" t="s">
        <v>683</v>
      </c>
      <c r="J188" s="109" t="s">
        <v>39</v>
      </c>
      <c r="K188" s="109" t="s">
        <v>684</v>
      </c>
      <c r="L188" s="111">
        <v>1</v>
      </c>
      <c r="M188" s="104">
        <v>92.92</v>
      </c>
      <c r="N188" s="104">
        <f>L188*M188</f>
        <v>92.92</v>
      </c>
    </row>
    <row r="189" spans="2:14" ht="38.25">
      <c r="B189" s="109" t="s">
        <v>682</v>
      </c>
      <c r="C189" s="110" t="s">
        <v>342</v>
      </c>
      <c r="D189" s="111" t="s">
        <v>39</v>
      </c>
      <c r="E189" s="109" t="s">
        <v>453</v>
      </c>
      <c r="F189" s="104">
        <f>N$192</f>
        <v>118.23536700000001</v>
      </c>
      <c r="G189" s="109" t="s">
        <v>536</v>
      </c>
      <c r="H189" s="111">
        <v>38194</v>
      </c>
      <c r="I189" s="110" t="s">
        <v>685</v>
      </c>
      <c r="J189" s="109" t="s">
        <v>39</v>
      </c>
      <c r="K189" s="109" t="s">
        <v>547</v>
      </c>
      <c r="L189" s="111">
        <v>1</v>
      </c>
      <c r="M189" s="104">
        <v>8.32</v>
      </c>
      <c r="N189" s="104">
        <f>L189*M189</f>
        <v>8.32</v>
      </c>
    </row>
    <row r="190" spans="2:14" ht="63.75">
      <c r="B190" s="109" t="s">
        <v>682</v>
      </c>
      <c r="C190" s="110" t="s">
        <v>342</v>
      </c>
      <c r="D190" s="111" t="s">
        <v>39</v>
      </c>
      <c r="E190" s="109" t="s">
        <v>453</v>
      </c>
      <c r="F190" s="104">
        <f>N$192</f>
        <v>118.23536700000001</v>
      </c>
      <c r="G190" s="109" t="s">
        <v>639</v>
      </c>
      <c r="H190" s="111">
        <v>88247</v>
      </c>
      <c r="I190" s="109" t="s">
        <v>665</v>
      </c>
      <c r="J190" s="109" t="s">
        <v>459</v>
      </c>
      <c r="K190" s="109" t="s">
        <v>542</v>
      </c>
      <c r="L190" s="111">
        <v>0.2231</v>
      </c>
      <c r="M190" s="111">
        <v>20.42</v>
      </c>
      <c r="N190" s="104">
        <f>L190*M190</f>
        <v>4.555702</v>
      </c>
    </row>
    <row r="191" spans="2:14" ht="38.25">
      <c r="B191" s="109" t="s">
        <v>682</v>
      </c>
      <c r="C191" s="110" t="s">
        <v>342</v>
      </c>
      <c r="D191" s="111" t="s">
        <v>39</v>
      </c>
      <c r="E191" s="109" t="s">
        <v>453</v>
      </c>
      <c r="F191" s="104">
        <f>N$192</f>
        <v>118.23536700000001</v>
      </c>
      <c r="G191" s="109" t="s">
        <v>639</v>
      </c>
      <c r="H191" s="111">
        <v>88264</v>
      </c>
      <c r="I191" s="109" t="s">
        <v>641</v>
      </c>
      <c r="J191" s="109" t="s">
        <v>459</v>
      </c>
      <c r="K191" s="109" t="s">
        <v>547</v>
      </c>
      <c r="L191" s="111">
        <v>0.5355</v>
      </c>
      <c r="M191" s="111">
        <v>23.23</v>
      </c>
      <c r="N191" s="104">
        <f>L191*M191</f>
        <v>12.439665</v>
      </c>
    </row>
    <row r="192" spans="2:14" ht="15">
      <c r="B192" s="108"/>
      <c r="C192" s="115"/>
      <c r="D192" s="108"/>
      <c r="E192" s="108"/>
      <c r="F192" s="108"/>
      <c r="G192" s="112"/>
      <c r="H192" s="108"/>
      <c r="I192" s="112"/>
      <c r="J192" s="113"/>
      <c r="K192" s="108"/>
      <c r="L192" s="113"/>
      <c r="M192" s="113"/>
      <c r="N192" s="104">
        <f>SUM(N188:N191)</f>
        <v>118.23536700000001</v>
      </c>
    </row>
    <row r="194" spans="2:14" ht="63.75">
      <c r="B194" s="109" t="s">
        <v>346</v>
      </c>
      <c r="C194" s="110" t="s">
        <v>347</v>
      </c>
      <c r="D194" s="111" t="s">
        <v>39</v>
      </c>
      <c r="E194" s="109" t="s">
        <v>542</v>
      </c>
      <c r="F194" s="104">
        <f>N$198</f>
        <v>286.43795</v>
      </c>
      <c r="G194" s="112"/>
      <c r="H194" s="108"/>
      <c r="I194" s="112"/>
      <c r="J194" s="113"/>
      <c r="K194" s="108"/>
      <c r="L194" s="113"/>
      <c r="M194" s="113"/>
      <c r="N194" s="114"/>
    </row>
    <row r="195" spans="2:14" ht="63.75">
      <c r="B195" s="109" t="s">
        <v>346</v>
      </c>
      <c r="C195" s="110" t="s">
        <v>347</v>
      </c>
      <c r="D195" s="111" t="s">
        <v>39</v>
      </c>
      <c r="E195" s="109" t="s">
        <v>542</v>
      </c>
      <c r="F195" s="104">
        <f>N$198</f>
        <v>286.43795</v>
      </c>
      <c r="G195" s="109" t="s">
        <v>536</v>
      </c>
      <c r="H195" s="111" t="s">
        <v>633</v>
      </c>
      <c r="I195" s="109" t="s">
        <v>686</v>
      </c>
      <c r="J195" s="109" t="s">
        <v>39</v>
      </c>
      <c r="K195" s="109" t="s">
        <v>633</v>
      </c>
      <c r="L195" s="111">
        <v>1</v>
      </c>
      <c r="M195" s="104">
        <v>260.99</v>
      </c>
      <c r="N195" s="123">
        <f>L195*M195</f>
        <v>260.99</v>
      </c>
    </row>
    <row r="196" spans="2:14" ht="63.75">
      <c r="B196" s="109" t="s">
        <v>346</v>
      </c>
      <c r="C196" s="110" t="s">
        <v>347</v>
      </c>
      <c r="D196" s="111" t="s">
        <v>39</v>
      </c>
      <c r="E196" s="109" t="s">
        <v>542</v>
      </c>
      <c r="F196" s="104">
        <f>N$198</f>
        <v>286.43795</v>
      </c>
      <c r="G196" s="109" t="s">
        <v>639</v>
      </c>
      <c r="H196" s="111">
        <v>88247</v>
      </c>
      <c r="I196" s="109" t="s">
        <v>665</v>
      </c>
      <c r="J196" s="109" t="s">
        <v>459</v>
      </c>
      <c r="K196" s="109" t="s">
        <v>547</v>
      </c>
      <c r="L196" s="111">
        <v>0.583</v>
      </c>
      <c r="M196" s="111">
        <v>20.42</v>
      </c>
      <c r="N196" s="104">
        <f>L196*M196</f>
        <v>11.904860000000001</v>
      </c>
    </row>
    <row r="197" spans="2:14" ht="63.75">
      <c r="B197" s="109" t="s">
        <v>346</v>
      </c>
      <c r="C197" s="110" t="s">
        <v>347</v>
      </c>
      <c r="D197" s="111" t="s">
        <v>39</v>
      </c>
      <c r="E197" s="109" t="s">
        <v>542</v>
      </c>
      <c r="F197" s="104">
        <f>N$198</f>
        <v>286.43795</v>
      </c>
      <c r="G197" s="109" t="s">
        <v>639</v>
      </c>
      <c r="H197" s="111">
        <v>88264</v>
      </c>
      <c r="I197" s="109" t="s">
        <v>641</v>
      </c>
      <c r="J197" s="109" t="s">
        <v>459</v>
      </c>
      <c r="K197" s="109" t="s">
        <v>547</v>
      </c>
      <c r="L197" s="111">
        <v>0.583</v>
      </c>
      <c r="M197" s="111">
        <v>23.23</v>
      </c>
      <c r="N197" s="104">
        <f>L197*M197</f>
        <v>13.54309</v>
      </c>
    </row>
    <row r="198" spans="2:14" ht="15">
      <c r="B198" s="108"/>
      <c r="C198" s="115"/>
      <c r="D198" s="108"/>
      <c r="E198" s="108"/>
      <c r="F198" s="108"/>
      <c r="G198" s="112"/>
      <c r="H198" s="108"/>
      <c r="I198" s="112"/>
      <c r="J198" s="113"/>
      <c r="K198" s="108"/>
      <c r="L198" s="113"/>
      <c r="M198" s="113"/>
      <c r="N198" s="104">
        <f>SUM(N195:N197)</f>
        <v>286.43795</v>
      </c>
    </row>
    <row r="200" spans="2:14" ht="76.5">
      <c r="B200" s="109" t="s">
        <v>687</v>
      </c>
      <c r="C200" s="110" t="s">
        <v>688</v>
      </c>
      <c r="D200" s="111" t="s">
        <v>39</v>
      </c>
      <c r="E200" s="109" t="s">
        <v>542</v>
      </c>
      <c r="F200" s="104">
        <f aca="true" t="shared" si="26" ref="F200:F209">N$210</f>
        <v>153.47275</v>
      </c>
      <c r="G200" s="112"/>
      <c r="H200" s="108"/>
      <c r="I200" s="112"/>
      <c r="J200" s="113"/>
      <c r="K200" s="108"/>
      <c r="L200" s="113"/>
      <c r="M200" s="113"/>
      <c r="N200" s="114"/>
    </row>
    <row r="201" spans="2:14" ht="76.5">
      <c r="B201" s="109" t="s">
        <v>687</v>
      </c>
      <c r="C201" s="110" t="s">
        <v>688</v>
      </c>
      <c r="D201" s="111" t="s">
        <v>39</v>
      </c>
      <c r="E201" s="109" t="s">
        <v>542</v>
      </c>
      <c r="F201" s="104">
        <f t="shared" si="26"/>
        <v>153.47275</v>
      </c>
      <c r="G201" s="109" t="s">
        <v>639</v>
      </c>
      <c r="H201" s="111">
        <v>90447</v>
      </c>
      <c r="I201" s="109" t="s">
        <v>447</v>
      </c>
      <c r="J201" s="109" t="s">
        <v>42</v>
      </c>
      <c r="K201" s="109" t="s">
        <v>542</v>
      </c>
      <c r="L201" s="111">
        <v>2.2</v>
      </c>
      <c r="M201" s="104">
        <v>5.7</v>
      </c>
      <c r="N201" s="104">
        <f aca="true" t="shared" si="27" ref="N201:N209">L201*M201</f>
        <v>12.540000000000001</v>
      </c>
    </row>
    <row r="202" spans="2:14" ht="76.5">
      <c r="B202" s="109" t="s">
        <v>687</v>
      </c>
      <c r="C202" s="110" t="s">
        <v>688</v>
      </c>
      <c r="D202" s="111" t="s">
        <v>39</v>
      </c>
      <c r="E202" s="109" t="s">
        <v>542</v>
      </c>
      <c r="F202" s="104">
        <f t="shared" si="26"/>
        <v>153.47275</v>
      </c>
      <c r="G202" s="109" t="s">
        <v>639</v>
      </c>
      <c r="H202" s="111">
        <v>90456</v>
      </c>
      <c r="I202" s="109" t="s">
        <v>689</v>
      </c>
      <c r="J202" s="109" t="s">
        <v>39</v>
      </c>
      <c r="K202" s="109" t="s">
        <v>542</v>
      </c>
      <c r="L202" s="111">
        <v>1</v>
      </c>
      <c r="M202" s="104">
        <v>3.64</v>
      </c>
      <c r="N202" s="104">
        <f t="shared" si="27"/>
        <v>3.64</v>
      </c>
    </row>
    <row r="203" spans="2:14" ht="76.5">
      <c r="B203" s="109" t="s">
        <v>687</v>
      </c>
      <c r="C203" s="110" t="s">
        <v>688</v>
      </c>
      <c r="D203" s="111" t="s">
        <v>39</v>
      </c>
      <c r="E203" s="109" t="s">
        <v>542</v>
      </c>
      <c r="F203" s="104">
        <f t="shared" si="26"/>
        <v>153.47275</v>
      </c>
      <c r="G203" s="109" t="s">
        <v>639</v>
      </c>
      <c r="H203" s="111">
        <v>90466</v>
      </c>
      <c r="I203" s="109" t="s">
        <v>156</v>
      </c>
      <c r="J203" s="109" t="s">
        <v>42</v>
      </c>
      <c r="K203" s="109" t="s">
        <v>542</v>
      </c>
      <c r="L203" s="111">
        <v>2.2</v>
      </c>
      <c r="M203" s="104">
        <v>11.53</v>
      </c>
      <c r="N203" s="104">
        <f t="shared" si="27"/>
        <v>25.366</v>
      </c>
    </row>
    <row r="204" spans="2:14" ht="76.5">
      <c r="B204" s="109" t="s">
        <v>687</v>
      </c>
      <c r="C204" s="110" t="s">
        <v>688</v>
      </c>
      <c r="D204" s="111" t="s">
        <v>39</v>
      </c>
      <c r="E204" s="109" t="s">
        <v>542</v>
      </c>
      <c r="F204" s="104">
        <f t="shared" si="26"/>
        <v>153.47275</v>
      </c>
      <c r="G204" s="109" t="s">
        <v>639</v>
      </c>
      <c r="H204" s="111">
        <v>91844</v>
      </c>
      <c r="I204" s="109" t="s">
        <v>690</v>
      </c>
      <c r="J204" s="109" t="s">
        <v>42</v>
      </c>
      <c r="K204" s="109" t="s">
        <v>542</v>
      </c>
      <c r="L204" s="111">
        <v>2</v>
      </c>
      <c r="M204" s="104">
        <v>6.81</v>
      </c>
      <c r="N204" s="104">
        <f t="shared" si="27"/>
        <v>13.62</v>
      </c>
    </row>
    <row r="205" spans="2:14" ht="76.5">
      <c r="B205" s="109" t="s">
        <v>687</v>
      </c>
      <c r="C205" s="110" t="s">
        <v>688</v>
      </c>
      <c r="D205" s="111" t="s">
        <v>39</v>
      </c>
      <c r="E205" s="109" t="s">
        <v>542</v>
      </c>
      <c r="F205" s="104">
        <f t="shared" si="26"/>
        <v>153.47275</v>
      </c>
      <c r="G205" s="109" t="s">
        <v>639</v>
      </c>
      <c r="H205" s="111">
        <v>91854</v>
      </c>
      <c r="I205" s="109" t="s">
        <v>691</v>
      </c>
      <c r="J205" s="109" t="s">
        <v>42</v>
      </c>
      <c r="K205" s="109" t="s">
        <v>542</v>
      </c>
      <c r="L205" s="111">
        <v>2.2</v>
      </c>
      <c r="M205" s="104">
        <v>9.03</v>
      </c>
      <c r="N205" s="104">
        <f t="shared" si="27"/>
        <v>19.866</v>
      </c>
    </row>
    <row r="206" spans="2:14" ht="76.5">
      <c r="B206" s="109" t="s">
        <v>687</v>
      </c>
      <c r="C206" s="110" t="s">
        <v>688</v>
      </c>
      <c r="D206" s="111" t="s">
        <v>39</v>
      </c>
      <c r="E206" s="109" t="s">
        <v>542</v>
      </c>
      <c r="F206" s="104">
        <f t="shared" si="26"/>
        <v>153.47275</v>
      </c>
      <c r="G206" s="109" t="s">
        <v>639</v>
      </c>
      <c r="H206" s="111">
        <v>91926</v>
      </c>
      <c r="I206" s="109" t="s">
        <v>294</v>
      </c>
      <c r="J206" s="109" t="s">
        <v>42</v>
      </c>
      <c r="K206" s="109" t="s">
        <v>542</v>
      </c>
      <c r="L206" s="111">
        <v>8.4</v>
      </c>
      <c r="M206" s="104">
        <v>4.18</v>
      </c>
      <c r="N206" s="104">
        <f t="shared" si="27"/>
        <v>35.112</v>
      </c>
    </row>
    <row r="207" spans="2:14" ht="76.5">
      <c r="B207" s="109" t="s">
        <v>687</v>
      </c>
      <c r="C207" s="110" t="s">
        <v>688</v>
      </c>
      <c r="D207" s="111" t="s">
        <v>39</v>
      </c>
      <c r="E207" s="109" t="s">
        <v>542</v>
      </c>
      <c r="F207" s="104">
        <f t="shared" si="26"/>
        <v>153.47275</v>
      </c>
      <c r="G207" s="109" t="s">
        <v>639</v>
      </c>
      <c r="H207" s="111">
        <v>91937</v>
      </c>
      <c r="I207" s="109" t="s">
        <v>692</v>
      </c>
      <c r="J207" s="109" t="s">
        <v>39</v>
      </c>
      <c r="K207" s="109" t="s">
        <v>542</v>
      </c>
      <c r="L207" s="111">
        <v>0.375</v>
      </c>
      <c r="M207" s="104">
        <v>11.49</v>
      </c>
      <c r="N207" s="104">
        <f t="shared" si="27"/>
        <v>4.30875</v>
      </c>
    </row>
    <row r="208" spans="2:14" ht="76.5">
      <c r="B208" s="109" t="s">
        <v>687</v>
      </c>
      <c r="C208" s="110" t="s">
        <v>688</v>
      </c>
      <c r="D208" s="111" t="s">
        <v>39</v>
      </c>
      <c r="E208" s="109" t="s">
        <v>542</v>
      </c>
      <c r="F208" s="104">
        <f t="shared" si="26"/>
        <v>153.47275</v>
      </c>
      <c r="G208" s="109" t="s">
        <v>639</v>
      </c>
      <c r="H208" s="111">
        <v>91940</v>
      </c>
      <c r="I208" s="109" t="s">
        <v>208</v>
      </c>
      <c r="J208" s="109" t="s">
        <v>39</v>
      </c>
      <c r="K208" s="109" t="s">
        <v>542</v>
      </c>
      <c r="L208" s="111">
        <v>1</v>
      </c>
      <c r="M208" s="104">
        <v>14.23</v>
      </c>
      <c r="N208" s="104">
        <f t="shared" si="27"/>
        <v>14.23</v>
      </c>
    </row>
    <row r="209" spans="2:14" ht="76.5">
      <c r="B209" s="109" t="s">
        <v>687</v>
      </c>
      <c r="C209" s="110" t="s">
        <v>688</v>
      </c>
      <c r="D209" s="111" t="s">
        <v>39</v>
      </c>
      <c r="E209" s="109" t="s">
        <v>542</v>
      </c>
      <c r="F209" s="104">
        <f t="shared" si="26"/>
        <v>153.47275</v>
      </c>
      <c r="G209" s="109" t="s">
        <v>639</v>
      </c>
      <c r="H209" s="111">
        <v>91953</v>
      </c>
      <c r="I209" s="109" t="s">
        <v>349</v>
      </c>
      <c r="J209" s="109" t="s">
        <v>39</v>
      </c>
      <c r="K209" s="109" t="s">
        <v>542</v>
      </c>
      <c r="L209" s="111">
        <v>1</v>
      </c>
      <c r="M209" s="104">
        <v>24.79</v>
      </c>
      <c r="N209" s="104">
        <f t="shared" si="27"/>
        <v>24.79</v>
      </c>
    </row>
    <row r="210" spans="2:14" ht="15">
      <c r="B210" s="108"/>
      <c r="C210" s="115"/>
      <c r="D210" s="108"/>
      <c r="E210" s="108"/>
      <c r="F210" s="108"/>
      <c r="G210" s="112"/>
      <c r="H210" s="108"/>
      <c r="I210" s="112"/>
      <c r="J210" s="113"/>
      <c r="K210" s="108"/>
      <c r="L210" s="113"/>
      <c r="M210" s="113"/>
      <c r="N210" s="104">
        <f>SUM(N201:N209)</f>
        <v>153.47275</v>
      </c>
    </row>
    <row r="212" spans="2:14" ht="76.5">
      <c r="B212" s="109" t="s">
        <v>693</v>
      </c>
      <c r="C212" s="110" t="s">
        <v>694</v>
      </c>
      <c r="D212" s="111" t="s">
        <v>39</v>
      </c>
      <c r="E212" s="109" t="s">
        <v>542</v>
      </c>
      <c r="F212" s="104">
        <f aca="true" t="shared" si="28" ref="F212:F221">N$222</f>
        <v>176.87874999999997</v>
      </c>
      <c r="G212" s="112"/>
      <c r="H212" s="108"/>
      <c r="I212" s="112"/>
      <c r="J212" s="113"/>
      <c r="K212" s="108"/>
      <c r="L212" s="113"/>
      <c r="M212" s="113"/>
      <c r="N212" s="114"/>
    </row>
    <row r="213" spans="2:14" ht="76.5">
      <c r="B213" s="109" t="s">
        <v>693</v>
      </c>
      <c r="C213" s="110" t="s">
        <v>694</v>
      </c>
      <c r="D213" s="111" t="s">
        <v>39</v>
      </c>
      <c r="E213" s="109" t="s">
        <v>542</v>
      </c>
      <c r="F213" s="104">
        <f t="shared" si="28"/>
        <v>176.87874999999997</v>
      </c>
      <c r="G213" s="109" t="s">
        <v>639</v>
      </c>
      <c r="H213" s="111">
        <v>90447</v>
      </c>
      <c r="I213" s="109" t="s">
        <v>447</v>
      </c>
      <c r="J213" s="109" t="s">
        <v>42</v>
      </c>
      <c r="K213" s="109" t="s">
        <v>542</v>
      </c>
      <c r="L213" s="111">
        <v>2.2</v>
      </c>
      <c r="M213" s="104">
        <v>5.7</v>
      </c>
      <c r="N213" s="104">
        <f aca="true" t="shared" si="29" ref="N213:N221">L213*M213</f>
        <v>12.540000000000001</v>
      </c>
    </row>
    <row r="214" spans="2:14" ht="76.5">
      <c r="B214" s="109" t="s">
        <v>693</v>
      </c>
      <c r="C214" s="110" t="s">
        <v>694</v>
      </c>
      <c r="D214" s="111" t="s">
        <v>39</v>
      </c>
      <c r="E214" s="109" t="s">
        <v>542</v>
      </c>
      <c r="F214" s="104">
        <f t="shared" si="28"/>
        <v>176.87874999999997</v>
      </c>
      <c r="G214" s="109" t="s">
        <v>639</v>
      </c>
      <c r="H214" s="111">
        <v>90456</v>
      </c>
      <c r="I214" s="109" t="s">
        <v>689</v>
      </c>
      <c r="J214" s="109" t="s">
        <v>39</v>
      </c>
      <c r="K214" s="109" t="s">
        <v>542</v>
      </c>
      <c r="L214" s="111">
        <v>1</v>
      </c>
      <c r="M214" s="104">
        <v>3.64</v>
      </c>
      <c r="N214" s="104">
        <f t="shared" si="29"/>
        <v>3.64</v>
      </c>
    </row>
    <row r="215" spans="2:14" ht="76.5">
      <c r="B215" s="109" t="s">
        <v>693</v>
      </c>
      <c r="C215" s="110" t="s">
        <v>694</v>
      </c>
      <c r="D215" s="111" t="s">
        <v>39</v>
      </c>
      <c r="E215" s="109" t="s">
        <v>542</v>
      </c>
      <c r="F215" s="104">
        <f t="shared" si="28"/>
        <v>176.87874999999997</v>
      </c>
      <c r="G215" s="109" t="s">
        <v>639</v>
      </c>
      <c r="H215" s="111">
        <v>90466</v>
      </c>
      <c r="I215" s="109" t="s">
        <v>156</v>
      </c>
      <c r="J215" s="109" t="s">
        <v>42</v>
      </c>
      <c r="K215" s="109" t="s">
        <v>542</v>
      </c>
      <c r="L215" s="111">
        <v>2.2</v>
      </c>
      <c r="M215" s="104">
        <v>11.53</v>
      </c>
      <c r="N215" s="104">
        <f t="shared" si="29"/>
        <v>25.366</v>
      </c>
    </row>
    <row r="216" spans="2:14" ht="76.5">
      <c r="B216" s="109" t="s">
        <v>693</v>
      </c>
      <c r="C216" s="110" t="s">
        <v>694</v>
      </c>
      <c r="D216" s="111" t="s">
        <v>39</v>
      </c>
      <c r="E216" s="109" t="s">
        <v>542</v>
      </c>
      <c r="F216" s="104">
        <f t="shared" si="28"/>
        <v>176.87874999999997</v>
      </c>
      <c r="G216" s="109" t="s">
        <v>639</v>
      </c>
      <c r="H216" s="111">
        <v>91844</v>
      </c>
      <c r="I216" s="109" t="s">
        <v>690</v>
      </c>
      <c r="J216" s="109" t="s">
        <v>42</v>
      </c>
      <c r="K216" s="109" t="s">
        <v>542</v>
      </c>
      <c r="L216" s="111">
        <v>2</v>
      </c>
      <c r="M216" s="104">
        <v>6.81</v>
      </c>
      <c r="N216" s="104">
        <f t="shared" si="29"/>
        <v>13.62</v>
      </c>
    </row>
    <row r="217" spans="2:14" ht="76.5">
      <c r="B217" s="109" t="s">
        <v>693</v>
      </c>
      <c r="C217" s="110" t="s">
        <v>694</v>
      </c>
      <c r="D217" s="111" t="s">
        <v>39</v>
      </c>
      <c r="E217" s="109" t="s">
        <v>542</v>
      </c>
      <c r="F217" s="104">
        <f t="shared" si="28"/>
        <v>176.87874999999997</v>
      </c>
      <c r="G217" s="109" t="s">
        <v>639</v>
      </c>
      <c r="H217" s="111">
        <v>91854</v>
      </c>
      <c r="I217" s="109" t="s">
        <v>691</v>
      </c>
      <c r="J217" s="109" t="s">
        <v>42</v>
      </c>
      <c r="K217" s="109" t="s">
        <v>542</v>
      </c>
      <c r="L217" s="111">
        <v>2.2</v>
      </c>
      <c r="M217" s="104">
        <v>9.03</v>
      </c>
      <c r="N217" s="104">
        <f t="shared" si="29"/>
        <v>19.866</v>
      </c>
    </row>
    <row r="218" spans="2:14" ht="76.5">
      <c r="B218" s="109" t="s">
        <v>693</v>
      </c>
      <c r="C218" s="110" t="s">
        <v>694</v>
      </c>
      <c r="D218" s="111" t="s">
        <v>39</v>
      </c>
      <c r="E218" s="109" t="s">
        <v>542</v>
      </c>
      <c r="F218" s="104">
        <f t="shared" si="28"/>
        <v>176.87874999999997</v>
      </c>
      <c r="G218" s="109" t="s">
        <v>639</v>
      </c>
      <c r="H218" s="111">
        <v>91926</v>
      </c>
      <c r="I218" s="109" t="s">
        <v>294</v>
      </c>
      <c r="J218" s="109" t="s">
        <v>42</v>
      </c>
      <c r="K218" s="109" t="s">
        <v>542</v>
      </c>
      <c r="L218" s="111">
        <v>12.6</v>
      </c>
      <c r="M218" s="104">
        <v>4.18</v>
      </c>
      <c r="N218" s="104">
        <f t="shared" si="29"/>
        <v>52.66799999999999</v>
      </c>
    </row>
    <row r="219" spans="2:14" ht="76.5">
      <c r="B219" s="109" t="s">
        <v>693</v>
      </c>
      <c r="C219" s="110" t="s">
        <v>694</v>
      </c>
      <c r="D219" s="111" t="s">
        <v>39</v>
      </c>
      <c r="E219" s="109" t="s">
        <v>542</v>
      </c>
      <c r="F219" s="104">
        <f t="shared" si="28"/>
        <v>176.87874999999997</v>
      </c>
      <c r="G219" s="109" t="s">
        <v>639</v>
      </c>
      <c r="H219" s="111">
        <v>91937</v>
      </c>
      <c r="I219" s="109" t="s">
        <v>692</v>
      </c>
      <c r="J219" s="109" t="s">
        <v>39</v>
      </c>
      <c r="K219" s="109" t="s">
        <v>542</v>
      </c>
      <c r="L219" s="111">
        <v>0.375</v>
      </c>
      <c r="M219" s="104">
        <v>11.49</v>
      </c>
      <c r="N219" s="104">
        <f t="shared" si="29"/>
        <v>4.30875</v>
      </c>
    </row>
    <row r="220" spans="2:14" ht="76.5">
      <c r="B220" s="109" t="s">
        <v>693</v>
      </c>
      <c r="C220" s="110" t="s">
        <v>694</v>
      </c>
      <c r="D220" s="111" t="s">
        <v>39</v>
      </c>
      <c r="E220" s="109" t="s">
        <v>542</v>
      </c>
      <c r="F220" s="104">
        <f t="shared" si="28"/>
        <v>176.87874999999997</v>
      </c>
      <c r="G220" s="109" t="s">
        <v>639</v>
      </c>
      <c r="H220" s="111">
        <v>91940</v>
      </c>
      <c r="I220" s="109" t="s">
        <v>208</v>
      </c>
      <c r="J220" s="109" t="s">
        <v>39</v>
      </c>
      <c r="K220" s="109" t="s">
        <v>542</v>
      </c>
      <c r="L220" s="111">
        <v>1</v>
      </c>
      <c r="M220" s="104">
        <v>14.23</v>
      </c>
      <c r="N220" s="104">
        <f t="shared" si="29"/>
        <v>14.23</v>
      </c>
    </row>
    <row r="221" spans="2:14" ht="76.5">
      <c r="B221" s="109" t="s">
        <v>693</v>
      </c>
      <c r="C221" s="110" t="s">
        <v>694</v>
      </c>
      <c r="D221" s="111" t="s">
        <v>39</v>
      </c>
      <c r="E221" s="109" t="s">
        <v>542</v>
      </c>
      <c r="F221" s="104">
        <f t="shared" si="28"/>
        <v>176.87874999999997</v>
      </c>
      <c r="G221" s="109" t="s">
        <v>639</v>
      </c>
      <c r="H221" s="111">
        <v>91955</v>
      </c>
      <c r="I221" s="109" t="s">
        <v>351</v>
      </c>
      <c r="J221" s="109" t="s">
        <v>39</v>
      </c>
      <c r="K221" s="109" t="s">
        <v>542</v>
      </c>
      <c r="L221" s="111">
        <v>1</v>
      </c>
      <c r="M221" s="104">
        <v>30.64</v>
      </c>
      <c r="N221" s="104">
        <f t="shared" si="29"/>
        <v>30.64</v>
      </c>
    </row>
    <row r="222" spans="2:14" ht="15">
      <c r="B222" s="108"/>
      <c r="C222" s="115"/>
      <c r="D222" s="108"/>
      <c r="E222" s="108"/>
      <c r="F222" s="108"/>
      <c r="G222" s="112"/>
      <c r="H222" s="108"/>
      <c r="I222" s="112"/>
      <c r="J222" s="113"/>
      <c r="K222" s="108"/>
      <c r="L222" s="113"/>
      <c r="M222" s="113"/>
      <c r="N222" s="104">
        <f>SUM(N213:N221)</f>
        <v>176.87874999999997</v>
      </c>
    </row>
    <row r="224" spans="2:14" ht="63.75">
      <c r="B224" s="109" t="s">
        <v>695</v>
      </c>
      <c r="C224" s="110" t="s">
        <v>696</v>
      </c>
      <c r="D224" s="111" t="s">
        <v>39</v>
      </c>
      <c r="E224" s="109" t="s">
        <v>542</v>
      </c>
      <c r="F224" s="104">
        <f aca="true" t="shared" si="30" ref="F224:F233">N$234</f>
        <v>194.83874999999998</v>
      </c>
      <c r="G224" s="112"/>
      <c r="H224" s="108"/>
      <c r="I224" s="112"/>
      <c r="J224" s="113"/>
      <c r="K224" s="108"/>
      <c r="L224" s="113"/>
      <c r="M224" s="113"/>
      <c r="N224" s="114"/>
    </row>
    <row r="225" spans="2:14" ht="63.75">
      <c r="B225" s="109" t="s">
        <v>695</v>
      </c>
      <c r="C225" s="110" t="s">
        <v>696</v>
      </c>
      <c r="D225" s="111" t="s">
        <v>39</v>
      </c>
      <c r="E225" s="109" t="s">
        <v>542</v>
      </c>
      <c r="F225" s="104">
        <f t="shared" si="30"/>
        <v>194.83874999999998</v>
      </c>
      <c r="G225" s="109" t="s">
        <v>639</v>
      </c>
      <c r="H225" s="111">
        <v>90447</v>
      </c>
      <c r="I225" s="109" t="s">
        <v>447</v>
      </c>
      <c r="J225" s="109" t="s">
        <v>42</v>
      </c>
      <c r="K225" s="109" t="s">
        <v>542</v>
      </c>
      <c r="L225" s="111">
        <v>2.2</v>
      </c>
      <c r="M225" s="104">
        <v>5.7</v>
      </c>
      <c r="N225" s="104">
        <f aca="true" t="shared" si="31" ref="N225:N233">L225*M225</f>
        <v>12.540000000000001</v>
      </c>
    </row>
    <row r="226" spans="2:14" ht="63.75">
      <c r="B226" s="109" t="s">
        <v>695</v>
      </c>
      <c r="C226" s="110" t="s">
        <v>696</v>
      </c>
      <c r="D226" s="111" t="s">
        <v>39</v>
      </c>
      <c r="E226" s="109" t="s">
        <v>542</v>
      </c>
      <c r="F226" s="104">
        <f t="shared" si="30"/>
        <v>194.83874999999998</v>
      </c>
      <c r="G226" s="109" t="s">
        <v>639</v>
      </c>
      <c r="H226" s="111">
        <v>90456</v>
      </c>
      <c r="I226" s="109" t="s">
        <v>689</v>
      </c>
      <c r="J226" s="109" t="s">
        <v>39</v>
      </c>
      <c r="K226" s="109" t="s">
        <v>542</v>
      </c>
      <c r="L226" s="111">
        <v>1</v>
      </c>
      <c r="M226" s="104">
        <v>3.64</v>
      </c>
      <c r="N226" s="104">
        <f t="shared" si="31"/>
        <v>3.64</v>
      </c>
    </row>
    <row r="227" spans="2:14" ht="63.75">
      <c r="B227" s="109" t="s">
        <v>695</v>
      </c>
      <c r="C227" s="110" t="s">
        <v>696</v>
      </c>
      <c r="D227" s="111" t="s">
        <v>39</v>
      </c>
      <c r="E227" s="109" t="s">
        <v>542</v>
      </c>
      <c r="F227" s="104">
        <f t="shared" si="30"/>
        <v>194.83874999999998</v>
      </c>
      <c r="G227" s="109" t="s">
        <v>639</v>
      </c>
      <c r="H227" s="111">
        <v>90466</v>
      </c>
      <c r="I227" s="109" t="s">
        <v>156</v>
      </c>
      <c r="J227" s="109" t="s">
        <v>42</v>
      </c>
      <c r="K227" s="109" t="s">
        <v>542</v>
      </c>
      <c r="L227" s="111">
        <v>2.2</v>
      </c>
      <c r="M227" s="104">
        <v>11.53</v>
      </c>
      <c r="N227" s="104">
        <f t="shared" si="31"/>
        <v>25.366</v>
      </c>
    </row>
    <row r="228" spans="2:14" ht="76.5">
      <c r="B228" s="109" t="s">
        <v>695</v>
      </c>
      <c r="C228" s="110" t="s">
        <v>696</v>
      </c>
      <c r="D228" s="111" t="s">
        <v>39</v>
      </c>
      <c r="E228" s="109" t="s">
        <v>542</v>
      </c>
      <c r="F228" s="104">
        <f t="shared" si="30"/>
        <v>194.83874999999998</v>
      </c>
      <c r="G228" s="109" t="s">
        <v>639</v>
      </c>
      <c r="H228" s="111">
        <v>91844</v>
      </c>
      <c r="I228" s="109" t="s">
        <v>690</v>
      </c>
      <c r="J228" s="109" t="s">
        <v>42</v>
      </c>
      <c r="K228" s="109" t="s">
        <v>542</v>
      </c>
      <c r="L228" s="111">
        <v>2</v>
      </c>
      <c r="M228" s="104">
        <v>6.81</v>
      </c>
      <c r="N228" s="104">
        <f t="shared" si="31"/>
        <v>13.62</v>
      </c>
    </row>
    <row r="229" spans="2:14" ht="76.5">
      <c r="B229" s="109" t="s">
        <v>695</v>
      </c>
      <c r="C229" s="110" t="s">
        <v>696</v>
      </c>
      <c r="D229" s="111" t="s">
        <v>39</v>
      </c>
      <c r="E229" s="109" t="s">
        <v>542</v>
      </c>
      <c r="F229" s="104">
        <f t="shared" si="30"/>
        <v>194.83874999999998</v>
      </c>
      <c r="G229" s="109" t="s">
        <v>639</v>
      </c>
      <c r="H229" s="111">
        <v>91854</v>
      </c>
      <c r="I229" s="109" t="s">
        <v>691</v>
      </c>
      <c r="J229" s="109" t="s">
        <v>42</v>
      </c>
      <c r="K229" s="109" t="s">
        <v>542</v>
      </c>
      <c r="L229" s="111">
        <v>2.2</v>
      </c>
      <c r="M229" s="104">
        <v>9.03</v>
      </c>
      <c r="N229" s="104">
        <f t="shared" si="31"/>
        <v>19.866</v>
      </c>
    </row>
    <row r="230" spans="2:14" ht="63.75">
      <c r="B230" s="109" t="s">
        <v>695</v>
      </c>
      <c r="C230" s="110" t="s">
        <v>696</v>
      </c>
      <c r="D230" s="111" t="s">
        <v>39</v>
      </c>
      <c r="E230" s="109" t="s">
        <v>542</v>
      </c>
      <c r="F230" s="104">
        <f t="shared" si="30"/>
        <v>194.83874999999998</v>
      </c>
      <c r="G230" s="109" t="s">
        <v>639</v>
      </c>
      <c r="H230" s="111">
        <v>91926</v>
      </c>
      <c r="I230" s="109" t="s">
        <v>294</v>
      </c>
      <c r="J230" s="109" t="s">
        <v>42</v>
      </c>
      <c r="K230" s="109" t="s">
        <v>542</v>
      </c>
      <c r="L230" s="111">
        <v>12.6</v>
      </c>
      <c r="M230" s="104">
        <v>4.18</v>
      </c>
      <c r="N230" s="104">
        <f t="shared" si="31"/>
        <v>52.66799999999999</v>
      </c>
    </row>
    <row r="231" spans="2:14" ht="63.75">
      <c r="B231" s="109" t="s">
        <v>695</v>
      </c>
      <c r="C231" s="110" t="s">
        <v>696</v>
      </c>
      <c r="D231" s="111" t="s">
        <v>39</v>
      </c>
      <c r="E231" s="109" t="s">
        <v>542</v>
      </c>
      <c r="F231" s="104">
        <f t="shared" si="30"/>
        <v>194.83874999999998</v>
      </c>
      <c r="G231" s="109" t="s">
        <v>639</v>
      </c>
      <c r="H231" s="111">
        <v>91937</v>
      </c>
      <c r="I231" s="109" t="s">
        <v>692</v>
      </c>
      <c r="J231" s="109" t="s">
        <v>39</v>
      </c>
      <c r="K231" s="109" t="s">
        <v>542</v>
      </c>
      <c r="L231" s="111">
        <v>0.375</v>
      </c>
      <c r="M231" s="104">
        <v>11.49</v>
      </c>
      <c r="N231" s="104">
        <f t="shared" si="31"/>
        <v>4.30875</v>
      </c>
    </row>
    <row r="232" spans="2:14" ht="63.75">
      <c r="B232" s="109" t="s">
        <v>695</v>
      </c>
      <c r="C232" s="110" t="s">
        <v>696</v>
      </c>
      <c r="D232" s="111" t="s">
        <v>39</v>
      </c>
      <c r="E232" s="109" t="s">
        <v>542</v>
      </c>
      <c r="F232" s="104">
        <f t="shared" si="30"/>
        <v>194.83874999999998</v>
      </c>
      <c r="G232" s="109" t="s">
        <v>639</v>
      </c>
      <c r="H232" s="111">
        <v>91940</v>
      </c>
      <c r="I232" s="109" t="s">
        <v>208</v>
      </c>
      <c r="J232" s="109" t="s">
        <v>39</v>
      </c>
      <c r="K232" s="109" t="s">
        <v>542</v>
      </c>
      <c r="L232" s="111">
        <v>1</v>
      </c>
      <c r="M232" s="104">
        <v>14.23</v>
      </c>
      <c r="N232" s="104">
        <f t="shared" si="31"/>
        <v>14.23</v>
      </c>
    </row>
    <row r="233" spans="2:14" ht="63.75">
      <c r="B233" s="109" t="s">
        <v>695</v>
      </c>
      <c r="C233" s="110" t="s">
        <v>696</v>
      </c>
      <c r="D233" s="111" t="s">
        <v>39</v>
      </c>
      <c r="E233" s="109" t="s">
        <v>542</v>
      </c>
      <c r="F233" s="104">
        <f t="shared" si="30"/>
        <v>194.83874999999998</v>
      </c>
      <c r="G233" s="109" t="s">
        <v>639</v>
      </c>
      <c r="H233" s="111">
        <v>92004</v>
      </c>
      <c r="I233" s="109" t="s">
        <v>697</v>
      </c>
      <c r="J233" s="109" t="s">
        <v>39</v>
      </c>
      <c r="K233" s="109" t="s">
        <v>542</v>
      </c>
      <c r="L233" s="111">
        <v>1</v>
      </c>
      <c r="M233" s="104">
        <v>48.6</v>
      </c>
      <c r="N233" s="104">
        <f t="shared" si="31"/>
        <v>48.6</v>
      </c>
    </row>
    <row r="234" spans="2:14" ht="15">
      <c r="B234" s="108"/>
      <c r="C234" s="115"/>
      <c r="D234" s="108"/>
      <c r="E234" s="108"/>
      <c r="F234" s="108"/>
      <c r="G234" s="112"/>
      <c r="H234" s="108"/>
      <c r="I234" s="112"/>
      <c r="J234" s="113"/>
      <c r="K234" s="108"/>
      <c r="L234" s="113"/>
      <c r="M234" s="113"/>
      <c r="N234" s="104">
        <f>SUM(N225:N233)</f>
        <v>194.83874999999998</v>
      </c>
    </row>
    <row r="236" spans="2:14" ht="63.75">
      <c r="B236" s="109" t="s">
        <v>698</v>
      </c>
      <c r="C236" s="110" t="s">
        <v>696</v>
      </c>
      <c r="D236" s="111" t="s">
        <v>39</v>
      </c>
      <c r="E236" s="109" t="s">
        <v>542</v>
      </c>
      <c r="F236" s="104">
        <f aca="true" t="shared" si="32" ref="F236:F245">N$246</f>
        <v>178.00875</v>
      </c>
      <c r="G236" s="112"/>
      <c r="H236" s="108"/>
      <c r="I236" s="112"/>
      <c r="J236" s="113"/>
      <c r="K236" s="108"/>
      <c r="L236" s="113"/>
      <c r="M236" s="113"/>
      <c r="N236" s="114"/>
    </row>
    <row r="237" spans="2:14" ht="63.75">
      <c r="B237" s="109" t="s">
        <v>698</v>
      </c>
      <c r="C237" s="110" t="s">
        <v>696</v>
      </c>
      <c r="D237" s="111" t="s">
        <v>39</v>
      </c>
      <c r="E237" s="109" t="s">
        <v>542</v>
      </c>
      <c r="F237" s="104">
        <f t="shared" si="32"/>
        <v>178.00875</v>
      </c>
      <c r="G237" s="109" t="s">
        <v>639</v>
      </c>
      <c r="H237" s="111">
        <v>90447</v>
      </c>
      <c r="I237" s="109" t="s">
        <v>447</v>
      </c>
      <c r="J237" s="109" t="s">
        <v>42</v>
      </c>
      <c r="K237" s="109" t="s">
        <v>542</v>
      </c>
      <c r="L237" s="111">
        <v>2.2</v>
      </c>
      <c r="M237" s="104">
        <v>5.7</v>
      </c>
      <c r="N237" s="104">
        <f aca="true" t="shared" si="33" ref="N237:N245">L237*M237</f>
        <v>12.540000000000001</v>
      </c>
    </row>
    <row r="238" spans="2:14" ht="63.75">
      <c r="B238" s="109" t="s">
        <v>698</v>
      </c>
      <c r="C238" s="110" t="s">
        <v>696</v>
      </c>
      <c r="D238" s="111" t="s">
        <v>39</v>
      </c>
      <c r="E238" s="109" t="s">
        <v>542</v>
      </c>
      <c r="F238" s="104">
        <f t="shared" si="32"/>
        <v>178.00875</v>
      </c>
      <c r="G238" s="109" t="s">
        <v>639</v>
      </c>
      <c r="H238" s="111">
        <v>90456</v>
      </c>
      <c r="I238" s="109" t="s">
        <v>689</v>
      </c>
      <c r="J238" s="109" t="s">
        <v>39</v>
      </c>
      <c r="K238" s="109" t="s">
        <v>542</v>
      </c>
      <c r="L238" s="111">
        <v>1</v>
      </c>
      <c r="M238" s="104">
        <v>3.64</v>
      </c>
      <c r="N238" s="104">
        <f t="shared" si="33"/>
        <v>3.64</v>
      </c>
    </row>
    <row r="239" spans="2:14" ht="63.75">
      <c r="B239" s="109" t="s">
        <v>698</v>
      </c>
      <c r="C239" s="110" t="s">
        <v>696</v>
      </c>
      <c r="D239" s="111" t="s">
        <v>39</v>
      </c>
      <c r="E239" s="109" t="s">
        <v>542</v>
      </c>
      <c r="F239" s="104">
        <f t="shared" si="32"/>
        <v>178.00875</v>
      </c>
      <c r="G239" s="109" t="s">
        <v>639</v>
      </c>
      <c r="H239" s="111">
        <v>90466</v>
      </c>
      <c r="I239" s="109" t="s">
        <v>156</v>
      </c>
      <c r="J239" s="109" t="s">
        <v>42</v>
      </c>
      <c r="K239" s="109" t="s">
        <v>542</v>
      </c>
      <c r="L239" s="111">
        <v>2.2</v>
      </c>
      <c r="M239" s="104">
        <v>11.53</v>
      </c>
      <c r="N239" s="104">
        <f t="shared" si="33"/>
        <v>25.366</v>
      </c>
    </row>
    <row r="240" spans="2:14" ht="76.5">
      <c r="B240" s="109" t="s">
        <v>698</v>
      </c>
      <c r="C240" s="110" t="s">
        <v>696</v>
      </c>
      <c r="D240" s="111" t="s">
        <v>39</v>
      </c>
      <c r="E240" s="109" t="s">
        <v>542</v>
      </c>
      <c r="F240" s="104">
        <f t="shared" si="32"/>
        <v>178.00875</v>
      </c>
      <c r="G240" s="109" t="s">
        <v>639</v>
      </c>
      <c r="H240" s="111">
        <v>91844</v>
      </c>
      <c r="I240" s="109" t="s">
        <v>690</v>
      </c>
      <c r="J240" s="109" t="s">
        <v>42</v>
      </c>
      <c r="K240" s="109" t="s">
        <v>542</v>
      </c>
      <c r="L240" s="111">
        <v>2</v>
      </c>
      <c r="M240" s="104">
        <v>6.81</v>
      </c>
      <c r="N240" s="104">
        <f t="shared" si="33"/>
        <v>13.62</v>
      </c>
    </row>
    <row r="241" spans="2:14" ht="76.5">
      <c r="B241" s="109" t="s">
        <v>698</v>
      </c>
      <c r="C241" s="110" t="s">
        <v>696</v>
      </c>
      <c r="D241" s="111" t="s">
        <v>39</v>
      </c>
      <c r="E241" s="109" t="s">
        <v>542</v>
      </c>
      <c r="F241" s="104">
        <f t="shared" si="32"/>
        <v>178.00875</v>
      </c>
      <c r="G241" s="109" t="s">
        <v>639</v>
      </c>
      <c r="H241" s="111">
        <v>91854</v>
      </c>
      <c r="I241" s="109" t="s">
        <v>691</v>
      </c>
      <c r="J241" s="109" t="s">
        <v>42</v>
      </c>
      <c r="K241" s="109" t="s">
        <v>542</v>
      </c>
      <c r="L241" s="111">
        <v>2.2</v>
      </c>
      <c r="M241" s="104">
        <v>9.03</v>
      </c>
      <c r="N241" s="104">
        <f t="shared" si="33"/>
        <v>19.866</v>
      </c>
    </row>
    <row r="242" spans="2:14" ht="63.75">
      <c r="B242" s="109" t="s">
        <v>698</v>
      </c>
      <c r="C242" s="110" t="s">
        <v>696</v>
      </c>
      <c r="D242" s="111" t="s">
        <v>39</v>
      </c>
      <c r="E242" s="109" t="s">
        <v>542</v>
      </c>
      <c r="F242" s="104">
        <f t="shared" si="32"/>
        <v>178.00875</v>
      </c>
      <c r="G242" s="109" t="s">
        <v>639</v>
      </c>
      <c r="H242" s="111">
        <v>91926</v>
      </c>
      <c r="I242" s="109" t="s">
        <v>294</v>
      </c>
      <c r="J242" s="109" t="s">
        <v>42</v>
      </c>
      <c r="K242" s="109" t="s">
        <v>542</v>
      </c>
      <c r="L242" s="111">
        <v>12.6</v>
      </c>
      <c r="M242" s="104">
        <v>4.18</v>
      </c>
      <c r="N242" s="104">
        <f t="shared" si="33"/>
        <v>52.66799999999999</v>
      </c>
    </row>
    <row r="243" spans="2:14" ht="63.75">
      <c r="B243" s="109" t="s">
        <v>698</v>
      </c>
      <c r="C243" s="110" t="s">
        <v>696</v>
      </c>
      <c r="D243" s="111" t="s">
        <v>39</v>
      </c>
      <c r="E243" s="109" t="s">
        <v>542</v>
      </c>
      <c r="F243" s="104">
        <f t="shared" si="32"/>
        <v>178.00875</v>
      </c>
      <c r="G243" s="109" t="s">
        <v>639</v>
      </c>
      <c r="H243" s="111">
        <v>91937</v>
      </c>
      <c r="I243" s="109" t="s">
        <v>692</v>
      </c>
      <c r="J243" s="109" t="s">
        <v>39</v>
      </c>
      <c r="K243" s="109" t="s">
        <v>542</v>
      </c>
      <c r="L243" s="111">
        <v>0.375</v>
      </c>
      <c r="M243" s="104">
        <v>11.49</v>
      </c>
      <c r="N243" s="104">
        <f t="shared" si="33"/>
        <v>4.30875</v>
      </c>
    </row>
    <row r="244" spans="2:14" ht="63.75">
      <c r="B244" s="109" t="s">
        <v>698</v>
      </c>
      <c r="C244" s="110" t="s">
        <v>696</v>
      </c>
      <c r="D244" s="111" t="s">
        <v>39</v>
      </c>
      <c r="E244" s="109" t="s">
        <v>542</v>
      </c>
      <c r="F244" s="104">
        <f t="shared" si="32"/>
        <v>178.00875</v>
      </c>
      <c r="G244" s="109" t="s">
        <v>639</v>
      </c>
      <c r="H244" s="111">
        <v>91940</v>
      </c>
      <c r="I244" s="109" t="s">
        <v>208</v>
      </c>
      <c r="J244" s="109" t="s">
        <v>39</v>
      </c>
      <c r="K244" s="109" t="s">
        <v>542</v>
      </c>
      <c r="L244" s="111">
        <v>1</v>
      </c>
      <c r="M244" s="104">
        <v>14.23</v>
      </c>
      <c r="N244" s="104">
        <f t="shared" si="33"/>
        <v>14.23</v>
      </c>
    </row>
    <row r="245" spans="2:14" ht="63.75">
      <c r="B245" s="109" t="s">
        <v>698</v>
      </c>
      <c r="C245" s="110" t="s">
        <v>696</v>
      </c>
      <c r="D245" s="111" t="s">
        <v>39</v>
      </c>
      <c r="E245" s="109" t="s">
        <v>542</v>
      </c>
      <c r="F245" s="104">
        <f t="shared" si="32"/>
        <v>178.00875</v>
      </c>
      <c r="G245" s="109" t="s">
        <v>639</v>
      </c>
      <c r="H245" s="111">
        <v>91997</v>
      </c>
      <c r="I245" s="109" t="s">
        <v>699</v>
      </c>
      <c r="J245" s="109" t="s">
        <v>39</v>
      </c>
      <c r="K245" s="109" t="s">
        <v>542</v>
      </c>
      <c r="L245" s="111">
        <v>1</v>
      </c>
      <c r="M245" s="104">
        <v>31.77</v>
      </c>
      <c r="N245" s="104">
        <f t="shared" si="33"/>
        <v>31.77</v>
      </c>
    </row>
    <row r="246" spans="2:14" ht="15">
      <c r="B246" s="108"/>
      <c r="C246" s="115"/>
      <c r="D246" s="108"/>
      <c r="E246" s="108"/>
      <c r="F246" s="108"/>
      <c r="G246" s="112"/>
      <c r="H246" s="108"/>
      <c r="I246" s="112"/>
      <c r="J246" s="113"/>
      <c r="K246" s="108"/>
      <c r="L246" s="113"/>
      <c r="M246" s="113"/>
      <c r="N246" s="104">
        <f>SUM(N237:N245)</f>
        <v>178.00875</v>
      </c>
    </row>
    <row r="248" spans="2:14" ht="63.75">
      <c r="B248" s="109" t="s">
        <v>700</v>
      </c>
      <c r="C248" s="110" t="s">
        <v>696</v>
      </c>
      <c r="D248" s="111" t="s">
        <v>39</v>
      </c>
      <c r="E248" s="109" t="s">
        <v>542</v>
      </c>
      <c r="F248" s="104">
        <f aca="true" t="shared" si="34" ref="F248:F257">N$258</f>
        <v>286.25075</v>
      </c>
      <c r="G248" s="112"/>
      <c r="H248" s="108"/>
      <c r="I248" s="112"/>
      <c r="J248" s="113"/>
      <c r="K248" s="108"/>
      <c r="L248" s="113"/>
      <c r="M248" s="113"/>
      <c r="N248" s="114"/>
    </row>
    <row r="249" spans="2:14" ht="63.75">
      <c r="B249" s="109" t="s">
        <v>700</v>
      </c>
      <c r="C249" s="110" t="s">
        <v>696</v>
      </c>
      <c r="D249" s="111" t="s">
        <v>39</v>
      </c>
      <c r="E249" s="109" t="s">
        <v>542</v>
      </c>
      <c r="F249" s="104">
        <f t="shared" si="34"/>
        <v>286.25075</v>
      </c>
      <c r="G249" s="109" t="s">
        <v>639</v>
      </c>
      <c r="H249" s="111">
        <v>90447</v>
      </c>
      <c r="I249" s="109" t="s">
        <v>447</v>
      </c>
      <c r="J249" s="109" t="s">
        <v>42</v>
      </c>
      <c r="K249" s="109" t="s">
        <v>542</v>
      </c>
      <c r="L249" s="111">
        <v>2.2</v>
      </c>
      <c r="M249" s="104">
        <v>5.7</v>
      </c>
      <c r="N249" s="104">
        <f aca="true" t="shared" si="35" ref="N249:N257">L249*M249</f>
        <v>12.540000000000001</v>
      </c>
    </row>
    <row r="250" spans="2:14" ht="63.75">
      <c r="B250" s="109" t="s">
        <v>700</v>
      </c>
      <c r="C250" s="110" t="s">
        <v>696</v>
      </c>
      <c r="D250" s="111" t="s">
        <v>39</v>
      </c>
      <c r="E250" s="109" t="s">
        <v>542</v>
      </c>
      <c r="F250" s="104">
        <f t="shared" si="34"/>
        <v>286.25075</v>
      </c>
      <c r="G250" s="109" t="s">
        <v>639</v>
      </c>
      <c r="H250" s="111">
        <v>90456</v>
      </c>
      <c r="I250" s="109" t="s">
        <v>689</v>
      </c>
      <c r="J250" s="109" t="s">
        <v>39</v>
      </c>
      <c r="K250" s="109" t="s">
        <v>542</v>
      </c>
      <c r="L250" s="111">
        <v>1</v>
      </c>
      <c r="M250" s="104">
        <v>3.64</v>
      </c>
      <c r="N250" s="104">
        <f t="shared" si="35"/>
        <v>3.64</v>
      </c>
    </row>
    <row r="251" spans="2:14" ht="63.75">
      <c r="B251" s="109" t="s">
        <v>700</v>
      </c>
      <c r="C251" s="110" t="s">
        <v>696</v>
      </c>
      <c r="D251" s="111" t="s">
        <v>39</v>
      </c>
      <c r="E251" s="109" t="s">
        <v>542</v>
      </c>
      <c r="F251" s="104">
        <f t="shared" si="34"/>
        <v>286.25075</v>
      </c>
      <c r="G251" s="109" t="s">
        <v>639</v>
      </c>
      <c r="H251" s="111">
        <v>90466</v>
      </c>
      <c r="I251" s="109" t="s">
        <v>156</v>
      </c>
      <c r="J251" s="109" t="s">
        <v>42</v>
      </c>
      <c r="K251" s="109" t="s">
        <v>542</v>
      </c>
      <c r="L251" s="111">
        <v>2.2</v>
      </c>
      <c r="M251" s="104">
        <v>11.53</v>
      </c>
      <c r="N251" s="104">
        <f t="shared" si="35"/>
        <v>25.366</v>
      </c>
    </row>
    <row r="252" spans="2:14" ht="76.5">
      <c r="B252" s="109" t="s">
        <v>700</v>
      </c>
      <c r="C252" s="110" t="s">
        <v>696</v>
      </c>
      <c r="D252" s="111" t="s">
        <v>39</v>
      </c>
      <c r="E252" s="109" t="s">
        <v>542</v>
      </c>
      <c r="F252" s="104">
        <f t="shared" si="34"/>
        <v>286.25075</v>
      </c>
      <c r="G252" s="109" t="s">
        <v>639</v>
      </c>
      <c r="H252" s="111">
        <v>91844</v>
      </c>
      <c r="I252" s="109" t="s">
        <v>690</v>
      </c>
      <c r="J252" s="109" t="s">
        <v>42</v>
      </c>
      <c r="K252" s="109" t="s">
        <v>542</v>
      </c>
      <c r="L252" s="111">
        <v>4</v>
      </c>
      <c r="M252" s="104">
        <v>6.81</v>
      </c>
      <c r="N252" s="104">
        <f t="shared" si="35"/>
        <v>27.24</v>
      </c>
    </row>
    <row r="253" spans="2:14" ht="76.5">
      <c r="B253" s="109" t="s">
        <v>700</v>
      </c>
      <c r="C253" s="110" t="s">
        <v>696</v>
      </c>
      <c r="D253" s="111" t="s">
        <v>39</v>
      </c>
      <c r="E253" s="109" t="s">
        <v>542</v>
      </c>
      <c r="F253" s="104">
        <f t="shared" si="34"/>
        <v>286.25075</v>
      </c>
      <c r="G253" s="109" t="s">
        <v>639</v>
      </c>
      <c r="H253" s="111">
        <v>91854</v>
      </c>
      <c r="I253" s="109" t="s">
        <v>691</v>
      </c>
      <c r="J253" s="109" t="s">
        <v>42</v>
      </c>
      <c r="K253" s="109" t="s">
        <v>542</v>
      </c>
      <c r="L253" s="111">
        <v>2.2</v>
      </c>
      <c r="M253" s="104">
        <v>9.03</v>
      </c>
      <c r="N253" s="104">
        <f t="shared" si="35"/>
        <v>19.866</v>
      </c>
    </row>
    <row r="254" spans="2:14" ht="63.75">
      <c r="B254" s="109" t="s">
        <v>700</v>
      </c>
      <c r="C254" s="110" t="s">
        <v>696</v>
      </c>
      <c r="D254" s="111" t="s">
        <v>39</v>
      </c>
      <c r="E254" s="109" t="s">
        <v>542</v>
      </c>
      <c r="F254" s="104">
        <f t="shared" si="34"/>
        <v>286.25075</v>
      </c>
      <c r="G254" s="109" t="s">
        <v>639</v>
      </c>
      <c r="H254" s="111">
        <v>91930</v>
      </c>
      <c r="I254" s="109" t="s">
        <v>701</v>
      </c>
      <c r="J254" s="109" t="s">
        <v>42</v>
      </c>
      <c r="K254" s="109" t="s">
        <v>542</v>
      </c>
      <c r="L254" s="111">
        <v>18</v>
      </c>
      <c r="M254" s="104">
        <v>9.45</v>
      </c>
      <c r="N254" s="104">
        <f t="shared" si="35"/>
        <v>170.1</v>
      </c>
    </row>
    <row r="255" spans="2:14" ht="63.75">
      <c r="B255" s="109" t="s">
        <v>700</v>
      </c>
      <c r="C255" s="110" t="s">
        <v>696</v>
      </c>
      <c r="D255" s="111" t="s">
        <v>39</v>
      </c>
      <c r="E255" s="109" t="s">
        <v>542</v>
      </c>
      <c r="F255" s="104">
        <f t="shared" si="34"/>
        <v>286.25075</v>
      </c>
      <c r="G255" s="109" t="s">
        <v>639</v>
      </c>
      <c r="H255" s="111">
        <v>91937</v>
      </c>
      <c r="I255" s="109" t="s">
        <v>692</v>
      </c>
      <c r="J255" s="109" t="s">
        <v>39</v>
      </c>
      <c r="K255" s="109" t="s">
        <v>542</v>
      </c>
      <c r="L255" s="111">
        <v>0.375</v>
      </c>
      <c r="M255" s="104">
        <v>11.49</v>
      </c>
      <c r="N255" s="104">
        <f t="shared" si="35"/>
        <v>4.30875</v>
      </c>
    </row>
    <row r="256" spans="2:14" ht="63.75">
      <c r="B256" s="109" t="s">
        <v>700</v>
      </c>
      <c r="C256" s="110" t="s">
        <v>696</v>
      </c>
      <c r="D256" s="111" t="s">
        <v>39</v>
      </c>
      <c r="E256" s="109" t="s">
        <v>542</v>
      </c>
      <c r="F256" s="104">
        <f t="shared" si="34"/>
        <v>286.25075</v>
      </c>
      <c r="G256" s="109" t="s">
        <v>639</v>
      </c>
      <c r="H256" s="111">
        <v>91940</v>
      </c>
      <c r="I256" s="109" t="s">
        <v>208</v>
      </c>
      <c r="J256" s="109" t="s">
        <v>39</v>
      </c>
      <c r="K256" s="109" t="s">
        <v>542</v>
      </c>
      <c r="L256" s="111">
        <v>1</v>
      </c>
      <c r="M256" s="104">
        <v>14.23</v>
      </c>
      <c r="N256" s="104">
        <f t="shared" si="35"/>
        <v>14.23</v>
      </c>
    </row>
    <row r="257" spans="2:14" ht="63.75">
      <c r="B257" s="109" t="s">
        <v>700</v>
      </c>
      <c r="C257" s="110" t="s">
        <v>696</v>
      </c>
      <c r="D257" s="111" t="s">
        <v>39</v>
      </c>
      <c r="E257" s="109" t="s">
        <v>542</v>
      </c>
      <c r="F257" s="104">
        <f t="shared" si="34"/>
        <v>286.25075</v>
      </c>
      <c r="G257" s="109" t="s">
        <v>639</v>
      </c>
      <c r="H257" s="111">
        <v>91945</v>
      </c>
      <c r="I257" s="109" t="s">
        <v>702</v>
      </c>
      <c r="J257" s="109" t="s">
        <v>39</v>
      </c>
      <c r="K257" s="109" t="s">
        <v>542</v>
      </c>
      <c r="L257" s="111">
        <v>1</v>
      </c>
      <c r="M257" s="104">
        <v>8.96</v>
      </c>
      <c r="N257" s="104">
        <f t="shared" si="35"/>
        <v>8.96</v>
      </c>
    </row>
    <row r="258" spans="2:14" ht="15">
      <c r="B258" s="108"/>
      <c r="C258" s="115"/>
      <c r="D258" s="108"/>
      <c r="E258" s="108"/>
      <c r="F258" s="108"/>
      <c r="G258" s="112"/>
      <c r="H258" s="108"/>
      <c r="I258" s="112"/>
      <c r="J258" s="113"/>
      <c r="K258" s="108"/>
      <c r="L258" s="113"/>
      <c r="M258" s="113"/>
      <c r="N258" s="104">
        <f>SUM(N249:N257)</f>
        <v>286.25075</v>
      </c>
    </row>
    <row r="260" spans="2:14" ht="38.25">
      <c r="B260" s="109" t="s">
        <v>341</v>
      </c>
      <c r="C260" s="110" t="s">
        <v>342</v>
      </c>
      <c r="D260" s="111" t="s">
        <v>39</v>
      </c>
      <c r="E260" s="109" t="s">
        <v>453</v>
      </c>
      <c r="F260" s="104">
        <f>N$265</f>
        <v>118.23536700000001</v>
      </c>
      <c r="G260" s="112"/>
      <c r="H260" s="108"/>
      <c r="I260" s="112"/>
      <c r="J260" s="113"/>
      <c r="K260" s="108"/>
      <c r="L260" s="113"/>
      <c r="M260" s="113"/>
      <c r="N260" s="114"/>
    </row>
    <row r="261" spans="2:14" ht="63.75">
      <c r="B261" s="109" t="s">
        <v>341</v>
      </c>
      <c r="C261" s="110" t="s">
        <v>342</v>
      </c>
      <c r="D261" s="111" t="s">
        <v>39</v>
      </c>
      <c r="E261" s="109" t="s">
        <v>453</v>
      </c>
      <c r="F261" s="104">
        <f>N$265</f>
        <v>118.23536700000001</v>
      </c>
      <c r="G261" s="109" t="s">
        <v>536</v>
      </c>
      <c r="H261" s="111">
        <v>3803</v>
      </c>
      <c r="I261" s="110" t="s">
        <v>683</v>
      </c>
      <c r="J261" s="109" t="s">
        <v>39</v>
      </c>
      <c r="K261" s="109" t="s">
        <v>684</v>
      </c>
      <c r="L261" s="111">
        <v>1</v>
      </c>
      <c r="M261" s="104">
        <v>92.92</v>
      </c>
      <c r="N261" s="104">
        <f>L261*M261</f>
        <v>92.92</v>
      </c>
    </row>
    <row r="262" spans="2:14" ht="38.25">
      <c r="B262" s="109" t="s">
        <v>341</v>
      </c>
      <c r="C262" s="110" t="s">
        <v>342</v>
      </c>
      <c r="D262" s="111" t="s">
        <v>39</v>
      </c>
      <c r="E262" s="109" t="s">
        <v>453</v>
      </c>
      <c r="F262" s="104">
        <f>N$265</f>
        <v>118.23536700000001</v>
      </c>
      <c r="G262" s="109" t="s">
        <v>536</v>
      </c>
      <c r="H262" s="111">
        <v>38194</v>
      </c>
      <c r="I262" s="110" t="s">
        <v>685</v>
      </c>
      <c r="J262" s="109" t="s">
        <v>39</v>
      </c>
      <c r="K262" s="109" t="s">
        <v>547</v>
      </c>
      <c r="L262" s="111">
        <v>1</v>
      </c>
      <c r="M262" s="104">
        <v>8.32</v>
      </c>
      <c r="N262" s="104">
        <f>L262*M262</f>
        <v>8.32</v>
      </c>
    </row>
    <row r="263" spans="2:14" ht="63.75">
      <c r="B263" s="109" t="s">
        <v>341</v>
      </c>
      <c r="C263" s="110" t="s">
        <v>342</v>
      </c>
      <c r="D263" s="111" t="s">
        <v>39</v>
      </c>
      <c r="E263" s="109" t="s">
        <v>453</v>
      </c>
      <c r="F263" s="104">
        <f>N$265</f>
        <v>118.23536700000001</v>
      </c>
      <c r="G263" s="109" t="s">
        <v>639</v>
      </c>
      <c r="H263" s="111">
        <v>88247</v>
      </c>
      <c r="I263" s="109" t="s">
        <v>665</v>
      </c>
      <c r="J263" s="109" t="s">
        <v>459</v>
      </c>
      <c r="K263" s="109" t="s">
        <v>542</v>
      </c>
      <c r="L263" s="111">
        <v>0.2231</v>
      </c>
      <c r="M263" s="111">
        <v>20.42</v>
      </c>
      <c r="N263" s="104">
        <f>L263*M263</f>
        <v>4.555702</v>
      </c>
    </row>
    <row r="264" spans="2:14" ht="38.25">
      <c r="B264" s="109" t="s">
        <v>341</v>
      </c>
      <c r="C264" s="110" t="s">
        <v>342</v>
      </c>
      <c r="D264" s="111" t="s">
        <v>39</v>
      </c>
      <c r="E264" s="109" t="s">
        <v>453</v>
      </c>
      <c r="F264" s="104">
        <f>N$265</f>
        <v>118.23536700000001</v>
      </c>
      <c r="G264" s="109" t="s">
        <v>639</v>
      </c>
      <c r="H264" s="111">
        <v>88264</v>
      </c>
      <c r="I264" s="109" t="s">
        <v>641</v>
      </c>
      <c r="J264" s="109" t="s">
        <v>459</v>
      </c>
      <c r="K264" s="109" t="s">
        <v>547</v>
      </c>
      <c r="L264" s="111">
        <v>0.5355</v>
      </c>
      <c r="M264" s="111">
        <v>23.23</v>
      </c>
      <c r="N264" s="104">
        <f>L264*M264</f>
        <v>12.439665</v>
      </c>
    </row>
    <row r="265" spans="2:14" ht="15">
      <c r="B265" s="108"/>
      <c r="C265" s="115"/>
      <c r="D265" s="108"/>
      <c r="E265" s="108"/>
      <c r="F265" s="108"/>
      <c r="G265" s="112"/>
      <c r="H265" s="108"/>
      <c r="I265" s="112"/>
      <c r="J265" s="113"/>
      <c r="K265" s="108"/>
      <c r="L265" s="113"/>
      <c r="M265" s="113"/>
      <c r="N265" s="104">
        <f>SUM(N261:N264)</f>
        <v>118.23536700000001</v>
      </c>
    </row>
    <row r="267" spans="2:14" ht="76.5">
      <c r="B267" s="109" t="s">
        <v>199</v>
      </c>
      <c r="C267" s="110" t="s">
        <v>703</v>
      </c>
      <c r="D267" s="111" t="s">
        <v>39</v>
      </c>
      <c r="E267" s="109" t="s">
        <v>453</v>
      </c>
      <c r="F267" s="104">
        <f>N$272</f>
        <v>1831.23598</v>
      </c>
      <c r="G267" s="112"/>
      <c r="H267" s="108"/>
      <c r="I267" s="112"/>
      <c r="J267" s="113"/>
      <c r="K267" s="108"/>
      <c r="L267" s="113"/>
      <c r="M267" s="113"/>
      <c r="N267" s="114"/>
    </row>
    <row r="268" spans="2:14" ht="76.5">
      <c r="B268" s="109" t="s">
        <v>199</v>
      </c>
      <c r="C268" s="110" t="s">
        <v>703</v>
      </c>
      <c r="D268" s="111" t="s">
        <v>39</v>
      </c>
      <c r="E268" s="109" t="s">
        <v>453</v>
      </c>
      <c r="F268" s="104">
        <f>N$272</f>
        <v>1831.23598</v>
      </c>
      <c r="G268" s="109" t="s">
        <v>536</v>
      </c>
      <c r="H268" s="111">
        <v>39756</v>
      </c>
      <c r="I268" s="110" t="s">
        <v>704</v>
      </c>
      <c r="J268" s="109" t="s">
        <v>39</v>
      </c>
      <c r="K268" s="109" t="s">
        <v>453</v>
      </c>
      <c r="L268" s="111">
        <v>1</v>
      </c>
      <c r="M268" s="104">
        <v>1792.5</v>
      </c>
      <c r="N268" s="104">
        <f>L268*M268</f>
        <v>1792.5</v>
      </c>
    </row>
    <row r="269" spans="2:14" ht="89.25">
      <c r="B269" s="109" t="s">
        <v>199</v>
      </c>
      <c r="C269" s="110" t="s">
        <v>703</v>
      </c>
      <c r="D269" s="111" t="s">
        <v>39</v>
      </c>
      <c r="E269" s="109" t="s">
        <v>453</v>
      </c>
      <c r="F269" s="104">
        <f>N$272</f>
        <v>1831.23598</v>
      </c>
      <c r="G269" s="109" t="s">
        <v>639</v>
      </c>
      <c r="H269" s="111">
        <v>87367</v>
      </c>
      <c r="I269" s="110" t="s">
        <v>705</v>
      </c>
      <c r="J269" s="109" t="s">
        <v>22</v>
      </c>
      <c r="K269" s="109" t="s">
        <v>542</v>
      </c>
      <c r="L269" s="111">
        <v>0.0194</v>
      </c>
      <c r="M269" s="104">
        <v>569.75</v>
      </c>
      <c r="N269" s="104">
        <f>L269*M269</f>
        <v>11.05315</v>
      </c>
    </row>
    <row r="270" spans="2:14" ht="76.5">
      <c r="B270" s="109" t="s">
        <v>199</v>
      </c>
      <c r="C270" s="110" t="s">
        <v>703</v>
      </c>
      <c r="D270" s="111" t="s">
        <v>39</v>
      </c>
      <c r="E270" s="109" t="s">
        <v>453</v>
      </c>
      <c r="F270" s="104">
        <f>N$272</f>
        <v>1831.23598</v>
      </c>
      <c r="G270" s="109" t="s">
        <v>639</v>
      </c>
      <c r="H270" s="111">
        <v>88247</v>
      </c>
      <c r="I270" s="109" t="s">
        <v>665</v>
      </c>
      <c r="J270" s="109" t="s">
        <v>459</v>
      </c>
      <c r="K270" s="109" t="s">
        <v>542</v>
      </c>
      <c r="L270" s="111">
        <v>0.6342</v>
      </c>
      <c r="M270" s="111">
        <v>20.42</v>
      </c>
      <c r="N270" s="104">
        <f>L270*M270</f>
        <v>12.950364</v>
      </c>
    </row>
    <row r="271" spans="2:14" ht="76.5">
      <c r="B271" s="109" t="s">
        <v>199</v>
      </c>
      <c r="C271" s="110" t="s">
        <v>703</v>
      </c>
      <c r="D271" s="111" t="s">
        <v>39</v>
      </c>
      <c r="E271" s="109" t="s">
        <v>453</v>
      </c>
      <c r="F271" s="104">
        <f>N$272</f>
        <v>1831.23598</v>
      </c>
      <c r="G271" s="109" t="s">
        <v>639</v>
      </c>
      <c r="H271" s="111">
        <v>88264</v>
      </c>
      <c r="I271" s="109" t="s">
        <v>641</v>
      </c>
      <c r="J271" s="109" t="s">
        <v>459</v>
      </c>
      <c r="K271" s="109" t="s">
        <v>547</v>
      </c>
      <c r="L271" s="111">
        <v>0.6342</v>
      </c>
      <c r="M271" s="111">
        <v>23.23</v>
      </c>
      <c r="N271" s="104">
        <f>L271*M271</f>
        <v>14.732466</v>
      </c>
    </row>
    <row r="272" spans="2:14" ht="15">
      <c r="B272" s="108"/>
      <c r="C272" s="115"/>
      <c r="D272" s="108"/>
      <c r="E272" s="108"/>
      <c r="F272" s="108"/>
      <c r="G272" s="112"/>
      <c r="H272" s="108"/>
      <c r="I272" s="112"/>
      <c r="J272" s="113"/>
      <c r="K272" s="108"/>
      <c r="L272" s="113"/>
      <c r="M272" s="113"/>
      <c r="N272" s="104">
        <f>SUM(N268:N271)</f>
        <v>1831.23598</v>
      </c>
    </row>
    <row r="274" spans="2:14" ht="63.75">
      <c r="B274" s="109" t="s">
        <v>227</v>
      </c>
      <c r="C274" s="110" t="s">
        <v>228</v>
      </c>
      <c r="D274" s="111" t="s">
        <v>42</v>
      </c>
      <c r="E274" s="109" t="s">
        <v>542</v>
      </c>
      <c r="F274" s="104">
        <f aca="true" t="shared" si="36" ref="F274:F280">N$281</f>
        <v>83.92368415</v>
      </c>
      <c r="G274" s="112"/>
      <c r="H274" s="108"/>
      <c r="I274" s="112"/>
      <c r="J274" s="113"/>
      <c r="K274" s="108"/>
      <c r="L274" s="113"/>
      <c r="M274" s="113"/>
      <c r="N274" s="114"/>
    </row>
    <row r="275" spans="2:14" ht="63.75">
      <c r="B275" s="109" t="s">
        <v>227</v>
      </c>
      <c r="C275" s="110" t="s">
        <v>228</v>
      </c>
      <c r="D275" s="111" t="s">
        <v>42</v>
      </c>
      <c r="E275" s="109" t="s">
        <v>542</v>
      </c>
      <c r="F275" s="104">
        <f t="shared" si="36"/>
        <v>83.92368415</v>
      </c>
      <c r="G275" s="109" t="s">
        <v>536</v>
      </c>
      <c r="H275" s="111" t="s">
        <v>633</v>
      </c>
      <c r="I275" s="109" t="s">
        <v>706</v>
      </c>
      <c r="J275" s="109" t="s">
        <v>42</v>
      </c>
      <c r="K275" s="109" t="s">
        <v>633</v>
      </c>
      <c r="L275" s="111">
        <v>0.936</v>
      </c>
      <c r="M275" s="104">
        <v>27.63</v>
      </c>
      <c r="N275" s="104">
        <f aca="true" t="shared" si="37" ref="N275:N280">L275*M275</f>
        <v>25.86168</v>
      </c>
    </row>
    <row r="276" spans="2:14" ht="89.25">
      <c r="B276" s="109" t="s">
        <v>227</v>
      </c>
      <c r="C276" s="110" t="s">
        <v>228</v>
      </c>
      <c r="D276" s="111" t="s">
        <v>42</v>
      </c>
      <c r="E276" s="109" t="s">
        <v>542</v>
      </c>
      <c r="F276" s="104">
        <f t="shared" si="36"/>
        <v>83.92368415</v>
      </c>
      <c r="G276" s="109" t="s">
        <v>558</v>
      </c>
      <c r="H276" s="111" t="s">
        <v>635</v>
      </c>
      <c r="I276" s="109" t="s">
        <v>707</v>
      </c>
      <c r="J276" s="109" t="s">
        <v>39</v>
      </c>
      <c r="K276" s="109" t="s">
        <v>633</v>
      </c>
      <c r="L276" s="111">
        <v>0.333</v>
      </c>
      <c r="M276" s="104">
        <f>F283</f>
        <v>62.33755000000001</v>
      </c>
      <c r="N276" s="104">
        <f t="shared" si="37"/>
        <v>20.758404150000004</v>
      </c>
    </row>
    <row r="277" spans="2:14" ht="76.5">
      <c r="B277" s="109" t="s">
        <v>227</v>
      </c>
      <c r="C277" s="110" t="s">
        <v>228</v>
      </c>
      <c r="D277" s="111" t="s">
        <v>42</v>
      </c>
      <c r="E277" s="109" t="s">
        <v>542</v>
      </c>
      <c r="F277" s="104">
        <f t="shared" si="36"/>
        <v>83.92368415</v>
      </c>
      <c r="G277" s="109" t="s">
        <v>536</v>
      </c>
      <c r="H277" s="111">
        <v>39029</v>
      </c>
      <c r="I277" s="109" t="s">
        <v>708</v>
      </c>
      <c r="J277" s="109" t="s">
        <v>42</v>
      </c>
      <c r="K277" s="109" t="s">
        <v>633</v>
      </c>
      <c r="L277" s="111">
        <v>1</v>
      </c>
      <c r="M277" s="104">
        <v>25.78</v>
      </c>
      <c r="N277" s="104">
        <f t="shared" si="37"/>
        <v>25.78</v>
      </c>
    </row>
    <row r="278" spans="2:14" ht="63.75">
      <c r="B278" s="109" t="s">
        <v>227</v>
      </c>
      <c r="C278" s="110" t="s">
        <v>228</v>
      </c>
      <c r="D278" s="111" t="s">
        <v>42</v>
      </c>
      <c r="E278" s="109" t="s">
        <v>542</v>
      </c>
      <c r="F278" s="104">
        <f t="shared" si="36"/>
        <v>83.92368415</v>
      </c>
      <c r="G278" s="109" t="s">
        <v>536</v>
      </c>
      <c r="H278" s="111"/>
      <c r="I278" s="109" t="s">
        <v>709</v>
      </c>
      <c r="J278" s="109" t="s">
        <v>42</v>
      </c>
      <c r="K278" s="109" t="s">
        <v>633</v>
      </c>
      <c r="L278" s="111">
        <v>0</v>
      </c>
      <c r="M278" s="104">
        <v>0</v>
      </c>
      <c r="N278" s="104">
        <f t="shared" si="37"/>
        <v>0</v>
      </c>
    </row>
    <row r="279" spans="2:14" ht="63.75">
      <c r="B279" s="109" t="s">
        <v>227</v>
      </c>
      <c r="C279" s="110" t="s">
        <v>228</v>
      </c>
      <c r="D279" s="111" t="s">
        <v>42</v>
      </c>
      <c r="E279" s="109" t="s">
        <v>542</v>
      </c>
      <c r="F279" s="104">
        <f t="shared" si="36"/>
        <v>83.92368415</v>
      </c>
      <c r="G279" s="109" t="s">
        <v>639</v>
      </c>
      <c r="H279" s="111">
        <v>88247</v>
      </c>
      <c r="I279" s="109" t="s">
        <v>640</v>
      </c>
      <c r="J279" s="109" t="s">
        <v>459</v>
      </c>
      <c r="K279" s="109" t="s">
        <v>547</v>
      </c>
      <c r="L279" s="111">
        <v>0.264</v>
      </c>
      <c r="M279" s="111">
        <v>20.42</v>
      </c>
      <c r="N279" s="104">
        <f t="shared" si="37"/>
        <v>5.390880000000001</v>
      </c>
    </row>
    <row r="280" spans="2:14" ht="63.75">
      <c r="B280" s="109" t="s">
        <v>227</v>
      </c>
      <c r="C280" s="110" t="s">
        <v>228</v>
      </c>
      <c r="D280" s="111" t="s">
        <v>42</v>
      </c>
      <c r="E280" s="109" t="s">
        <v>542</v>
      </c>
      <c r="F280" s="104">
        <f t="shared" si="36"/>
        <v>83.92368415</v>
      </c>
      <c r="G280" s="109" t="s">
        <v>639</v>
      </c>
      <c r="H280" s="111">
        <v>88264</v>
      </c>
      <c r="I280" s="109" t="s">
        <v>641</v>
      </c>
      <c r="J280" s="109" t="s">
        <v>459</v>
      </c>
      <c r="K280" s="109" t="s">
        <v>547</v>
      </c>
      <c r="L280" s="111">
        <v>0.264</v>
      </c>
      <c r="M280" s="111">
        <v>23.23</v>
      </c>
      <c r="N280" s="104">
        <f t="shared" si="37"/>
        <v>6.132720000000001</v>
      </c>
    </row>
    <row r="281" spans="2:14" ht="15">
      <c r="B281" s="108"/>
      <c r="C281" s="115"/>
      <c r="D281" s="108"/>
      <c r="E281" s="108"/>
      <c r="F281" s="108"/>
      <c r="G281" s="112"/>
      <c r="H281" s="108"/>
      <c r="I281" s="112"/>
      <c r="J281" s="113"/>
      <c r="K281" s="108"/>
      <c r="L281" s="113"/>
      <c r="M281" s="113"/>
      <c r="N281" s="104">
        <f>SUM(N275:N280)</f>
        <v>83.92368415</v>
      </c>
    </row>
    <row r="282" spans="2:14" ht="15">
      <c r="B282" s="108"/>
      <c r="C282" s="115"/>
      <c r="D282" s="108"/>
      <c r="E282" s="108"/>
      <c r="F282" s="108"/>
      <c r="G282" s="112"/>
      <c r="H282" s="108"/>
      <c r="I282" s="112"/>
      <c r="J282" s="113"/>
      <c r="K282" s="108"/>
      <c r="L282" s="113"/>
      <c r="M282" s="113"/>
      <c r="N282" s="104"/>
    </row>
    <row r="283" spans="2:14" ht="63.75">
      <c r="B283" s="109" t="s">
        <v>642</v>
      </c>
      <c r="C283" s="110" t="s">
        <v>710</v>
      </c>
      <c r="D283" s="111" t="s">
        <v>39</v>
      </c>
      <c r="E283" s="109" t="s">
        <v>542</v>
      </c>
      <c r="F283" s="104">
        <f aca="true" t="shared" si="38" ref="F283:F290">N$291</f>
        <v>62.33755000000001</v>
      </c>
      <c r="G283" s="112"/>
      <c r="H283" s="108"/>
      <c r="I283" s="112"/>
      <c r="J283" s="113"/>
      <c r="K283" s="108"/>
      <c r="L283" s="113"/>
      <c r="M283" s="113"/>
      <c r="N283" s="114"/>
    </row>
    <row r="284" spans="2:14" ht="76.5">
      <c r="B284" s="109" t="s">
        <v>642</v>
      </c>
      <c r="C284" s="110" t="s">
        <v>710</v>
      </c>
      <c r="D284" s="111" t="s">
        <v>39</v>
      </c>
      <c r="E284" s="109" t="s">
        <v>542</v>
      </c>
      <c r="F284" s="104">
        <f t="shared" si="38"/>
        <v>62.33755000000001</v>
      </c>
      <c r="G284" s="109" t="s">
        <v>536</v>
      </c>
      <c r="H284" s="111" t="s">
        <v>633</v>
      </c>
      <c r="I284" s="109" t="s">
        <v>711</v>
      </c>
      <c r="J284" s="109" t="s">
        <v>39</v>
      </c>
      <c r="K284" s="109" t="s">
        <v>633</v>
      </c>
      <c r="L284" s="111">
        <v>1</v>
      </c>
      <c r="M284" s="104">
        <v>6.59</v>
      </c>
      <c r="N284" s="104">
        <f aca="true" t="shared" si="39" ref="N284:N290">L284*M284</f>
        <v>6.59</v>
      </c>
    </row>
    <row r="285" spans="2:14" ht="63.75">
      <c r="B285" s="109" t="s">
        <v>642</v>
      </c>
      <c r="C285" s="110" t="s">
        <v>710</v>
      </c>
      <c r="D285" s="111" t="s">
        <v>39</v>
      </c>
      <c r="E285" s="109" t="s">
        <v>542</v>
      </c>
      <c r="F285" s="104">
        <f t="shared" si="38"/>
        <v>62.33755000000001</v>
      </c>
      <c r="G285" s="109" t="s">
        <v>536</v>
      </c>
      <c r="H285" s="111" t="s">
        <v>633</v>
      </c>
      <c r="I285" s="109" t="s">
        <v>645</v>
      </c>
      <c r="J285" s="109" t="s">
        <v>39</v>
      </c>
      <c r="K285" s="109" t="s">
        <v>633</v>
      </c>
      <c r="L285" s="111">
        <v>4</v>
      </c>
      <c r="M285" s="104">
        <v>1.76</v>
      </c>
      <c r="N285" s="104">
        <f t="shared" si="39"/>
        <v>7.04</v>
      </c>
    </row>
    <row r="286" spans="2:14" ht="63.75">
      <c r="B286" s="109" t="s">
        <v>642</v>
      </c>
      <c r="C286" s="110" t="s">
        <v>710</v>
      </c>
      <c r="D286" s="111" t="s">
        <v>39</v>
      </c>
      <c r="E286" s="109" t="s">
        <v>542</v>
      </c>
      <c r="F286" s="104">
        <f t="shared" si="38"/>
        <v>62.33755000000001</v>
      </c>
      <c r="G286" s="109" t="s">
        <v>536</v>
      </c>
      <c r="H286" s="111"/>
      <c r="I286" s="109" t="s">
        <v>646</v>
      </c>
      <c r="J286" s="109" t="s">
        <v>39</v>
      </c>
      <c r="K286" s="109" t="s">
        <v>633</v>
      </c>
      <c r="L286" s="111">
        <v>16.8</v>
      </c>
      <c r="M286" s="104">
        <v>0.53</v>
      </c>
      <c r="N286" s="104">
        <f t="shared" si="39"/>
        <v>8.904000000000002</v>
      </c>
    </row>
    <row r="287" spans="2:14" ht="63.75">
      <c r="B287" s="109" t="s">
        <v>642</v>
      </c>
      <c r="C287" s="110" t="s">
        <v>710</v>
      </c>
      <c r="D287" s="111" t="s">
        <v>39</v>
      </c>
      <c r="E287" s="109" t="s">
        <v>542</v>
      </c>
      <c r="F287" s="104">
        <f t="shared" si="38"/>
        <v>62.33755000000001</v>
      </c>
      <c r="G287" s="109" t="s">
        <v>536</v>
      </c>
      <c r="H287" s="111"/>
      <c r="I287" s="109" t="s">
        <v>647</v>
      </c>
      <c r="J287" s="109" t="s">
        <v>39</v>
      </c>
      <c r="K287" s="109" t="s">
        <v>633</v>
      </c>
      <c r="L287" s="111">
        <v>16.8</v>
      </c>
      <c r="M287" s="104">
        <v>0.8</v>
      </c>
      <c r="N287" s="104">
        <f t="shared" si="39"/>
        <v>13.440000000000001</v>
      </c>
    </row>
    <row r="288" spans="2:14" ht="63.75">
      <c r="B288" s="109" t="s">
        <v>642</v>
      </c>
      <c r="C288" s="110" t="s">
        <v>710</v>
      </c>
      <c r="D288" s="111" t="s">
        <v>39</v>
      </c>
      <c r="E288" s="109" t="s">
        <v>542</v>
      </c>
      <c r="F288" s="104">
        <f t="shared" si="38"/>
        <v>62.33755000000001</v>
      </c>
      <c r="G288" s="109" t="s">
        <v>536</v>
      </c>
      <c r="H288" s="111"/>
      <c r="I288" s="109" t="s">
        <v>648</v>
      </c>
      <c r="J288" s="109" t="s">
        <v>39</v>
      </c>
      <c r="K288" s="109" t="s">
        <v>633</v>
      </c>
      <c r="L288" s="111">
        <v>16.8</v>
      </c>
      <c r="M288" s="104">
        <v>0.2</v>
      </c>
      <c r="N288" s="104">
        <f t="shared" si="39"/>
        <v>3.3600000000000003</v>
      </c>
    </row>
    <row r="289" spans="2:14" ht="63.75">
      <c r="B289" s="109" t="s">
        <v>642</v>
      </c>
      <c r="C289" s="110" t="s">
        <v>710</v>
      </c>
      <c r="D289" s="111" t="s">
        <v>39</v>
      </c>
      <c r="E289" s="109" t="s">
        <v>542</v>
      </c>
      <c r="F289" s="104">
        <f t="shared" si="38"/>
        <v>62.33755000000001</v>
      </c>
      <c r="G289" s="109" t="s">
        <v>639</v>
      </c>
      <c r="H289" s="111">
        <v>88247</v>
      </c>
      <c r="I289" s="109" t="s">
        <v>640</v>
      </c>
      <c r="J289" s="109" t="s">
        <v>459</v>
      </c>
      <c r="K289" s="109" t="s">
        <v>547</v>
      </c>
      <c r="L289" s="111">
        <v>0.527</v>
      </c>
      <c r="M289" s="111">
        <v>20.42</v>
      </c>
      <c r="N289" s="104">
        <f t="shared" si="39"/>
        <v>10.76134</v>
      </c>
    </row>
    <row r="290" spans="2:14" ht="63.75">
      <c r="B290" s="109" t="s">
        <v>642</v>
      </c>
      <c r="C290" s="110" t="s">
        <v>710</v>
      </c>
      <c r="D290" s="111" t="s">
        <v>39</v>
      </c>
      <c r="E290" s="109" t="s">
        <v>542</v>
      </c>
      <c r="F290" s="104">
        <f t="shared" si="38"/>
        <v>62.33755000000001</v>
      </c>
      <c r="G290" s="109" t="s">
        <v>639</v>
      </c>
      <c r="H290" s="111">
        <v>88264</v>
      </c>
      <c r="I290" s="109" t="s">
        <v>641</v>
      </c>
      <c r="J290" s="109" t="s">
        <v>459</v>
      </c>
      <c r="K290" s="109" t="s">
        <v>547</v>
      </c>
      <c r="L290" s="111">
        <v>0.527</v>
      </c>
      <c r="M290" s="111">
        <v>23.23</v>
      </c>
      <c r="N290" s="104">
        <f t="shared" si="39"/>
        <v>12.24221</v>
      </c>
    </row>
    <row r="291" spans="2:14" ht="15">
      <c r="B291" s="108"/>
      <c r="C291" s="115"/>
      <c r="D291" s="108"/>
      <c r="E291" s="108"/>
      <c r="F291" s="108"/>
      <c r="G291" s="112"/>
      <c r="H291" s="108"/>
      <c r="I291" s="112"/>
      <c r="J291" s="113"/>
      <c r="K291" s="108"/>
      <c r="L291" s="113"/>
      <c r="M291" s="113"/>
      <c r="N291" s="104">
        <f>SUM(N284:N290)</f>
        <v>62.33755000000001</v>
      </c>
    </row>
    <row r="293" spans="2:14" ht="76.5">
      <c r="B293" s="109" t="s">
        <v>254</v>
      </c>
      <c r="C293" s="110" t="s">
        <v>712</v>
      </c>
      <c r="D293" s="111" t="s">
        <v>39</v>
      </c>
      <c r="E293" s="109" t="s">
        <v>542</v>
      </c>
      <c r="F293" s="104">
        <f aca="true" t="shared" si="40" ref="F293:F300">N$301</f>
        <v>87.64755000000001</v>
      </c>
      <c r="G293" s="112"/>
      <c r="H293" s="108"/>
      <c r="I293" s="112"/>
      <c r="J293" s="113"/>
      <c r="K293" s="108"/>
      <c r="L293" s="113"/>
      <c r="M293" s="113"/>
      <c r="N293" s="114"/>
    </row>
    <row r="294" spans="2:14" ht="76.5">
      <c r="B294" s="109" t="s">
        <v>254</v>
      </c>
      <c r="C294" s="110" t="s">
        <v>712</v>
      </c>
      <c r="D294" s="111" t="s">
        <v>39</v>
      </c>
      <c r="E294" s="109" t="s">
        <v>542</v>
      </c>
      <c r="F294" s="104">
        <f t="shared" si="40"/>
        <v>87.64755000000001</v>
      </c>
      <c r="G294" s="109" t="s">
        <v>536</v>
      </c>
      <c r="H294" s="111" t="s">
        <v>633</v>
      </c>
      <c r="I294" s="109" t="s">
        <v>713</v>
      </c>
      <c r="J294" s="109" t="s">
        <v>39</v>
      </c>
      <c r="K294" s="109" t="s">
        <v>633</v>
      </c>
      <c r="L294" s="111">
        <v>1</v>
      </c>
      <c r="M294" s="104">
        <v>31.9</v>
      </c>
      <c r="N294" s="104">
        <f aca="true" t="shared" si="41" ref="N294:N300">L294*M294</f>
        <v>31.9</v>
      </c>
    </row>
    <row r="295" spans="2:14" ht="76.5">
      <c r="B295" s="109" t="s">
        <v>254</v>
      </c>
      <c r="C295" s="110" t="s">
        <v>712</v>
      </c>
      <c r="D295" s="111" t="s">
        <v>39</v>
      </c>
      <c r="E295" s="109" t="s">
        <v>542</v>
      </c>
      <c r="F295" s="104">
        <f t="shared" si="40"/>
        <v>87.64755000000001</v>
      </c>
      <c r="G295" s="109" t="s">
        <v>536</v>
      </c>
      <c r="H295" s="111" t="s">
        <v>633</v>
      </c>
      <c r="I295" s="109" t="s">
        <v>652</v>
      </c>
      <c r="J295" s="109" t="s">
        <v>39</v>
      </c>
      <c r="K295" s="109" t="s">
        <v>633</v>
      </c>
      <c r="L295" s="111">
        <v>4</v>
      </c>
      <c r="M295" s="104">
        <v>1.76</v>
      </c>
      <c r="N295" s="104">
        <f t="shared" si="41"/>
        <v>7.04</v>
      </c>
    </row>
    <row r="296" spans="2:14" ht="76.5">
      <c r="B296" s="109" t="s">
        <v>254</v>
      </c>
      <c r="C296" s="110" t="s">
        <v>712</v>
      </c>
      <c r="D296" s="111" t="s">
        <v>39</v>
      </c>
      <c r="E296" s="109" t="s">
        <v>542</v>
      </c>
      <c r="F296" s="104">
        <f t="shared" si="40"/>
        <v>87.64755000000001</v>
      </c>
      <c r="G296" s="109" t="s">
        <v>536</v>
      </c>
      <c r="H296" s="111"/>
      <c r="I296" s="109" t="s">
        <v>646</v>
      </c>
      <c r="J296" s="109" t="s">
        <v>39</v>
      </c>
      <c r="K296" s="109" t="s">
        <v>633</v>
      </c>
      <c r="L296" s="111">
        <v>16.8</v>
      </c>
      <c r="M296" s="104">
        <v>0.53</v>
      </c>
      <c r="N296" s="104">
        <f t="shared" si="41"/>
        <v>8.904000000000002</v>
      </c>
    </row>
    <row r="297" spans="2:14" ht="76.5">
      <c r="B297" s="109" t="s">
        <v>254</v>
      </c>
      <c r="C297" s="110" t="s">
        <v>712</v>
      </c>
      <c r="D297" s="111" t="s">
        <v>39</v>
      </c>
      <c r="E297" s="109" t="s">
        <v>542</v>
      </c>
      <c r="F297" s="104">
        <f t="shared" si="40"/>
        <v>87.64755000000001</v>
      </c>
      <c r="G297" s="109" t="s">
        <v>536</v>
      </c>
      <c r="H297" s="111"/>
      <c r="I297" s="109" t="s">
        <v>647</v>
      </c>
      <c r="J297" s="109" t="s">
        <v>39</v>
      </c>
      <c r="K297" s="109" t="s">
        <v>633</v>
      </c>
      <c r="L297" s="111">
        <v>16.8</v>
      </c>
      <c r="M297" s="104">
        <v>0.8</v>
      </c>
      <c r="N297" s="104">
        <f t="shared" si="41"/>
        <v>13.440000000000001</v>
      </c>
    </row>
    <row r="298" spans="2:14" ht="76.5">
      <c r="B298" s="109" t="s">
        <v>254</v>
      </c>
      <c r="C298" s="110" t="s">
        <v>712</v>
      </c>
      <c r="D298" s="111" t="s">
        <v>39</v>
      </c>
      <c r="E298" s="109" t="s">
        <v>542</v>
      </c>
      <c r="F298" s="104">
        <f t="shared" si="40"/>
        <v>87.64755000000001</v>
      </c>
      <c r="G298" s="109" t="s">
        <v>536</v>
      </c>
      <c r="H298" s="111"/>
      <c r="I298" s="109" t="s">
        <v>648</v>
      </c>
      <c r="J298" s="109" t="s">
        <v>39</v>
      </c>
      <c r="K298" s="109" t="s">
        <v>633</v>
      </c>
      <c r="L298" s="111">
        <v>16.8</v>
      </c>
      <c r="M298" s="104">
        <v>0.2</v>
      </c>
      <c r="N298" s="104">
        <f t="shared" si="41"/>
        <v>3.3600000000000003</v>
      </c>
    </row>
    <row r="299" spans="2:14" ht="76.5">
      <c r="B299" s="109" t="s">
        <v>254</v>
      </c>
      <c r="C299" s="110" t="s">
        <v>712</v>
      </c>
      <c r="D299" s="111" t="s">
        <v>39</v>
      </c>
      <c r="E299" s="109" t="s">
        <v>542</v>
      </c>
      <c r="F299" s="104">
        <f t="shared" si="40"/>
        <v>87.64755000000001</v>
      </c>
      <c r="G299" s="109" t="s">
        <v>639</v>
      </c>
      <c r="H299" s="111">
        <v>88247</v>
      </c>
      <c r="I299" s="109" t="s">
        <v>640</v>
      </c>
      <c r="J299" s="109" t="s">
        <v>459</v>
      </c>
      <c r="K299" s="109" t="s">
        <v>547</v>
      </c>
      <c r="L299" s="111">
        <v>0.527</v>
      </c>
      <c r="M299" s="111">
        <v>20.42</v>
      </c>
      <c r="N299" s="104">
        <f t="shared" si="41"/>
        <v>10.76134</v>
      </c>
    </row>
    <row r="300" spans="2:14" ht="76.5">
      <c r="B300" s="109" t="s">
        <v>254</v>
      </c>
      <c r="C300" s="110" t="s">
        <v>712</v>
      </c>
      <c r="D300" s="111" t="s">
        <v>39</v>
      </c>
      <c r="E300" s="109" t="s">
        <v>542</v>
      </c>
      <c r="F300" s="104">
        <f t="shared" si="40"/>
        <v>87.64755000000001</v>
      </c>
      <c r="G300" s="109" t="s">
        <v>639</v>
      </c>
      <c r="H300" s="111">
        <v>88264</v>
      </c>
      <c r="I300" s="109" t="s">
        <v>641</v>
      </c>
      <c r="J300" s="109" t="s">
        <v>459</v>
      </c>
      <c r="K300" s="109" t="s">
        <v>547</v>
      </c>
      <c r="L300" s="111">
        <v>0.527</v>
      </c>
      <c r="M300" s="111">
        <v>23.23</v>
      </c>
      <c r="N300" s="104">
        <f t="shared" si="41"/>
        <v>12.24221</v>
      </c>
    </row>
    <row r="301" spans="2:14" ht="15">
      <c r="B301" s="108"/>
      <c r="C301" s="115"/>
      <c r="D301" s="108"/>
      <c r="E301" s="108"/>
      <c r="F301" s="108"/>
      <c r="G301" s="112"/>
      <c r="H301" s="108"/>
      <c r="I301" s="112"/>
      <c r="J301" s="113"/>
      <c r="K301" s="108"/>
      <c r="L301" s="113"/>
      <c r="M301" s="113"/>
      <c r="N301" s="104">
        <f>SUM(N294:N300)</f>
        <v>87.64755000000001</v>
      </c>
    </row>
    <row r="303" spans="2:14" ht="76.5">
      <c r="B303" s="109" t="s">
        <v>257</v>
      </c>
      <c r="C303" s="110" t="s">
        <v>714</v>
      </c>
      <c r="D303" s="111" t="s">
        <v>39</v>
      </c>
      <c r="E303" s="109" t="s">
        <v>542</v>
      </c>
      <c r="F303" s="104">
        <f aca="true" t="shared" si="42" ref="F303:F310">N$311</f>
        <v>81.64755000000001</v>
      </c>
      <c r="G303" s="112"/>
      <c r="H303" s="108"/>
      <c r="I303" s="112"/>
      <c r="J303" s="113"/>
      <c r="K303" s="108"/>
      <c r="L303" s="113"/>
      <c r="M303" s="113"/>
      <c r="N303" s="114"/>
    </row>
    <row r="304" spans="2:14" ht="76.5">
      <c r="B304" s="109" t="s">
        <v>257</v>
      </c>
      <c r="C304" s="110" t="s">
        <v>714</v>
      </c>
      <c r="D304" s="111" t="s">
        <v>39</v>
      </c>
      <c r="E304" s="109" t="s">
        <v>542</v>
      </c>
      <c r="F304" s="104">
        <f t="shared" si="42"/>
        <v>81.64755000000001</v>
      </c>
      <c r="G304" s="109" t="s">
        <v>536</v>
      </c>
      <c r="H304" s="111" t="s">
        <v>633</v>
      </c>
      <c r="I304" s="109" t="s">
        <v>715</v>
      </c>
      <c r="J304" s="109" t="s">
        <v>39</v>
      </c>
      <c r="K304" s="109" t="s">
        <v>633</v>
      </c>
      <c r="L304" s="111">
        <v>1</v>
      </c>
      <c r="M304" s="104">
        <v>25.9</v>
      </c>
      <c r="N304" s="104">
        <f aca="true" t="shared" si="43" ref="N304:N310">L304*M304</f>
        <v>25.9</v>
      </c>
    </row>
    <row r="305" spans="2:14" ht="76.5">
      <c r="B305" s="109" t="s">
        <v>257</v>
      </c>
      <c r="C305" s="110" t="s">
        <v>714</v>
      </c>
      <c r="D305" s="111" t="s">
        <v>39</v>
      </c>
      <c r="E305" s="109" t="s">
        <v>542</v>
      </c>
      <c r="F305" s="104">
        <f t="shared" si="42"/>
        <v>81.64755000000001</v>
      </c>
      <c r="G305" s="109" t="s">
        <v>536</v>
      </c>
      <c r="H305" s="111" t="s">
        <v>633</v>
      </c>
      <c r="I305" s="109" t="s">
        <v>652</v>
      </c>
      <c r="J305" s="109" t="s">
        <v>39</v>
      </c>
      <c r="K305" s="109" t="s">
        <v>633</v>
      </c>
      <c r="L305" s="111">
        <v>4</v>
      </c>
      <c r="M305" s="104">
        <v>1.76</v>
      </c>
      <c r="N305" s="104">
        <f t="shared" si="43"/>
        <v>7.04</v>
      </c>
    </row>
    <row r="306" spans="2:14" ht="76.5">
      <c r="B306" s="109" t="s">
        <v>257</v>
      </c>
      <c r="C306" s="110" t="s">
        <v>714</v>
      </c>
      <c r="D306" s="111" t="s">
        <v>39</v>
      </c>
      <c r="E306" s="109" t="s">
        <v>542</v>
      </c>
      <c r="F306" s="104">
        <f t="shared" si="42"/>
        <v>81.64755000000001</v>
      </c>
      <c r="G306" s="109" t="s">
        <v>536</v>
      </c>
      <c r="H306" s="111"/>
      <c r="I306" s="109" t="s">
        <v>646</v>
      </c>
      <c r="J306" s="109" t="s">
        <v>39</v>
      </c>
      <c r="K306" s="109" t="s">
        <v>633</v>
      </c>
      <c r="L306" s="111">
        <v>16.8</v>
      </c>
      <c r="M306" s="104">
        <v>0.53</v>
      </c>
      <c r="N306" s="104">
        <f t="shared" si="43"/>
        <v>8.904000000000002</v>
      </c>
    </row>
    <row r="307" spans="2:14" ht="76.5">
      <c r="B307" s="109" t="s">
        <v>257</v>
      </c>
      <c r="C307" s="110" t="s">
        <v>714</v>
      </c>
      <c r="D307" s="111" t="s">
        <v>39</v>
      </c>
      <c r="E307" s="109" t="s">
        <v>542</v>
      </c>
      <c r="F307" s="104">
        <f t="shared" si="42"/>
        <v>81.64755000000001</v>
      </c>
      <c r="G307" s="109" t="s">
        <v>536</v>
      </c>
      <c r="H307" s="111"/>
      <c r="I307" s="109" t="s">
        <v>647</v>
      </c>
      <c r="J307" s="109" t="s">
        <v>39</v>
      </c>
      <c r="K307" s="109" t="s">
        <v>633</v>
      </c>
      <c r="L307" s="111">
        <v>16.8</v>
      </c>
      <c r="M307" s="104">
        <v>0.8</v>
      </c>
      <c r="N307" s="104">
        <f t="shared" si="43"/>
        <v>13.440000000000001</v>
      </c>
    </row>
    <row r="308" spans="2:14" ht="76.5">
      <c r="B308" s="109" t="s">
        <v>257</v>
      </c>
      <c r="C308" s="110" t="s">
        <v>714</v>
      </c>
      <c r="D308" s="111" t="s">
        <v>39</v>
      </c>
      <c r="E308" s="109" t="s">
        <v>542</v>
      </c>
      <c r="F308" s="104">
        <f t="shared" si="42"/>
        <v>81.64755000000001</v>
      </c>
      <c r="G308" s="109" t="s">
        <v>536</v>
      </c>
      <c r="H308" s="111"/>
      <c r="I308" s="109" t="s">
        <v>648</v>
      </c>
      <c r="J308" s="109" t="s">
        <v>39</v>
      </c>
      <c r="K308" s="109" t="s">
        <v>633</v>
      </c>
      <c r="L308" s="111">
        <v>16.8</v>
      </c>
      <c r="M308" s="104">
        <v>0.2</v>
      </c>
      <c r="N308" s="104">
        <f t="shared" si="43"/>
        <v>3.3600000000000003</v>
      </c>
    </row>
    <row r="309" spans="2:14" ht="76.5">
      <c r="B309" s="109" t="s">
        <v>257</v>
      </c>
      <c r="C309" s="110" t="s">
        <v>714</v>
      </c>
      <c r="D309" s="111" t="s">
        <v>39</v>
      </c>
      <c r="E309" s="109" t="s">
        <v>542</v>
      </c>
      <c r="F309" s="104">
        <f t="shared" si="42"/>
        <v>81.64755000000001</v>
      </c>
      <c r="G309" s="109" t="s">
        <v>639</v>
      </c>
      <c r="H309" s="111">
        <v>88247</v>
      </c>
      <c r="I309" s="109" t="s">
        <v>640</v>
      </c>
      <c r="J309" s="109" t="s">
        <v>459</v>
      </c>
      <c r="K309" s="109" t="s">
        <v>547</v>
      </c>
      <c r="L309" s="111">
        <v>0.527</v>
      </c>
      <c r="M309" s="111">
        <v>20.42</v>
      </c>
      <c r="N309" s="104">
        <f t="shared" si="43"/>
        <v>10.76134</v>
      </c>
    </row>
    <row r="310" spans="2:14" ht="76.5">
      <c r="B310" s="109" t="s">
        <v>257</v>
      </c>
      <c r="C310" s="110" t="s">
        <v>714</v>
      </c>
      <c r="D310" s="111" t="s">
        <v>39</v>
      </c>
      <c r="E310" s="109" t="s">
        <v>542</v>
      </c>
      <c r="F310" s="104">
        <f t="shared" si="42"/>
        <v>81.64755000000001</v>
      </c>
      <c r="G310" s="109" t="s">
        <v>639</v>
      </c>
      <c r="H310" s="111">
        <v>88264</v>
      </c>
      <c r="I310" s="109" t="s">
        <v>641</v>
      </c>
      <c r="J310" s="109" t="s">
        <v>459</v>
      </c>
      <c r="K310" s="109" t="s">
        <v>547</v>
      </c>
      <c r="L310" s="111">
        <v>0.527</v>
      </c>
      <c r="M310" s="111">
        <v>23.23</v>
      </c>
      <c r="N310" s="104">
        <f t="shared" si="43"/>
        <v>12.24221</v>
      </c>
    </row>
    <row r="311" spans="2:14" ht="15">
      <c r="B311" s="108"/>
      <c r="C311" s="115"/>
      <c r="D311" s="108"/>
      <c r="E311" s="108"/>
      <c r="F311" s="108"/>
      <c r="G311" s="112"/>
      <c r="H311" s="108"/>
      <c r="I311" s="112"/>
      <c r="J311" s="113"/>
      <c r="K311" s="108"/>
      <c r="L311" s="113"/>
      <c r="M311" s="113"/>
      <c r="N311" s="104">
        <f>SUM(N304:N310)</f>
        <v>81.64755000000001</v>
      </c>
    </row>
    <row r="313" spans="2:14" ht="63.75">
      <c r="B313" s="109" t="s">
        <v>218</v>
      </c>
      <c r="C313" s="110" t="s">
        <v>219</v>
      </c>
      <c r="D313" s="111" t="s">
        <v>39</v>
      </c>
      <c r="E313" s="109" t="s">
        <v>542</v>
      </c>
      <c r="F313" s="104">
        <f>N$318</f>
        <v>238.552915</v>
      </c>
      <c r="G313" s="112"/>
      <c r="H313" s="108"/>
      <c r="I313" s="112"/>
      <c r="J313" s="113"/>
      <c r="K313" s="108"/>
      <c r="L313" s="113"/>
      <c r="M313" s="113"/>
      <c r="N313" s="114"/>
    </row>
    <row r="314" spans="2:14" ht="63.75">
      <c r="B314" s="109" t="s">
        <v>218</v>
      </c>
      <c r="C314" s="110" t="s">
        <v>219</v>
      </c>
      <c r="D314" s="111" t="s">
        <v>39</v>
      </c>
      <c r="E314" s="109" t="s">
        <v>542</v>
      </c>
      <c r="F314" s="104">
        <f>N$318</f>
        <v>238.552915</v>
      </c>
      <c r="G314" s="109" t="s">
        <v>536</v>
      </c>
      <c r="H314" s="111">
        <v>2595</v>
      </c>
      <c r="I314" s="110" t="s">
        <v>716</v>
      </c>
      <c r="J314" s="109" t="s">
        <v>39</v>
      </c>
      <c r="K314" s="109" t="s">
        <v>542</v>
      </c>
      <c r="L314" s="111">
        <v>1</v>
      </c>
      <c r="M314" s="104">
        <v>219.13</v>
      </c>
      <c r="N314" s="104">
        <f>L314*M314</f>
        <v>219.13</v>
      </c>
    </row>
    <row r="315" spans="2:14" ht="63.75">
      <c r="B315" s="109" t="s">
        <v>218</v>
      </c>
      <c r="C315" s="110" t="s">
        <v>219</v>
      </c>
      <c r="D315" s="111" t="s">
        <v>39</v>
      </c>
      <c r="E315" s="109" t="s">
        <v>542</v>
      </c>
      <c r="F315" s="104">
        <f>N$318</f>
        <v>238.552915</v>
      </c>
      <c r="G315" s="109" t="s">
        <v>536</v>
      </c>
      <c r="H315" s="111">
        <v>11950</v>
      </c>
      <c r="I315" s="110" t="s">
        <v>717</v>
      </c>
      <c r="J315" s="109" t="s">
        <v>39</v>
      </c>
      <c r="K315" s="109" t="s">
        <v>542</v>
      </c>
      <c r="L315" s="111">
        <v>2</v>
      </c>
      <c r="M315" s="104">
        <v>0.39</v>
      </c>
      <c r="N315" s="104">
        <f>L315*M315</f>
        <v>0.78</v>
      </c>
    </row>
    <row r="316" spans="2:14" ht="63.75">
      <c r="B316" s="109" t="s">
        <v>218</v>
      </c>
      <c r="C316" s="110" t="s">
        <v>219</v>
      </c>
      <c r="D316" s="111" t="s">
        <v>39</v>
      </c>
      <c r="E316" s="109" t="s">
        <v>542</v>
      </c>
      <c r="F316" s="104">
        <f>N$318</f>
        <v>238.552915</v>
      </c>
      <c r="G316" s="109" t="s">
        <v>639</v>
      </c>
      <c r="H316" s="111">
        <v>88247</v>
      </c>
      <c r="I316" s="109" t="s">
        <v>665</v>
      </c>
      <c r="J316" s="109" t="s">
        <v>459</v>
      </c>
      <c r="K316" s="109" t="s">
        <v>547</v>
      </c>
      <c r="L316" s="111">
        <v>0.4271</v>
      </c>
      <c r="M316" s="111">
        <v>20.42</v>
      </c>
      <c r="N316" s="104">
        <f>L316*M316</f>
        <v>8.721382</v>
      </c>
    </row>
    <row r="317" spans="2:14" ht="63.75">
      <c r="B317" s="109" t="s">
        <v>218</v>
      </c>
      <c r="C317" s="110" t="s">
        <v>219</v>
      </c>
      <c r="D317" s="111" t="s">
        <v>39</v>
      </c>
      <c r="E317" s="109" t="s">
        <v>542</v>
      </c>
      <c r="F317" s="104">
        <f>N$318</f>
        <v>238.552915</v>
      </c>
      <c r="G317" s="109" t="s">
        <v>639</v>
      </c>
      <c r="H317" s="111">
        <v>88264</v>
      </c>
      <c r="I317" s="109" t="s">
        <v>641</v>
      </c>
      <c r="J317" s="109" t="s">
        <v>459</v>
      </c>
      <c r="K317" s="109" t="s">
        <v>547</v>
      </c>
      <c r="L317" s="111">
        <v>0.4271</v>
      </c>
      <c r="M317" s="111">
        <v>23.23</v>
      </c>
      <c r="N317" s="104">
        <f>L317*M317</f>
        <v>9.921533</v>
      </c>
    </row>
    <row r="318" spans="2:14" ht="15">
      <c r="B318" s="108"/>
      <c r="C318" s="115"/>
      <c r="D318" s="108"/>
      <c r="E318" s="108"/>
      <c r="F318" s="108"/>
      <c r="G318" s="112"/>
      <c r="H318" s="108"/>
      <c r="I318" s="112"/>
      <c r="J318" s="113"/>
      <c r="K318" s="108"/>
      <c r="L318" s="113"/>
      <c r="M318" s="113"/>
      <c r="N318" s="104">
        <f>SUM(N314:N317)</f>
        <v>238.552915</v>
      </c>
    </row>
    <row r="320" spans="2:14" ht="63.75">
      <c r="B320" s="109" t="s">
        <v>373</v>
      </c>
      <c r="C320" s="110" t="s">
        <v>374</v>
      </c>
      <c r="D320" s="111" t="s">
        <v>39</v>
      </c>
      <c r="E320" s="109" t="s">
        <v>542</v>
      </c>
      <c r="F320" s="104">
        <f aca="true" t="shared" si="44" ref="F320:F327">N$328</f>
        <v>86.36755000000001</v>
      </c>
      <c r="G320" s="112"/>
      <c r="H320" s="108"/>
      <c r="I320" s="112"/>
      <c r="J320" s="113"/>
      <c r="K320" s="108"/>
      <c r="L320" s="113"/>
      <c r="M320" s="113"/>
      <c r="N320" s="114"/>
    </row>
    <row r="321" spans="2:14" ht="63.75">
      <c r="B321" s="109" t="s">
        <v>373</v>
      </c>
      <c r="C321" s="110" t="s">
        <v>374</v>
      </c>
      <c r="D321" s="111" t="s">
        <v>39</v>
      </c>
      <c r="E321" s="109" t="s">
        <v>542</v>
      </c>
      <c r="F321" s="104">
        <f t="shared" si="44"/>
        <v>86.36755000000001</v>
      </c>
      <c r="G321" s="109" t="s">
        <v>536</v>
      </c>
      <c r="H321" s="111" t="s">
        <v>633</v>
      </c>
      <c r="I321" s="110" t="s">
        <v>718</v>
      </c>
      <c r="J321" s="109" t="s">
        <v>39</v>
      </c>
      <c r="K321" s="109" t="s">
        <v>633</v>
      </c>
      <c r="L321" s="111">
        <v>1</v>
      </c>
      <c r="M321" s="104">
        <v>30.62</v>
      </c>
      <c r="N321" s="104">
        <f aca="true" t="shared" si="45" ref="N321:N327">L321*M321</f>
        <v>30.62</v>
      </c>
    </row>
    <row r="322" spans="2:14" ht="63.75">
      <c r="B322" s="109" t="s">
        <v>373</v>
      </c>
      <c r="C322" s="110" t="s">
        <v>374</v>
      </c>
      <c r="D322" s="111" t="s">
        <v>39</v>
      </c>
      <c r="E322" s="109" t="s">
        <v>542</v>
      </c>
      <c r="F322" s="104">
        <f t="shared" si="44"/>
        <v>86.36755000000001</v>
      </c>
      <c r="G322" s="109" t="s">
        <v>536</v>
      </c>
      <c r="H322" s="111" t="s">
        <v>633</v>
      </c>
      <c r="I322" s="109" t="s">
        <v>652</v>
      </c>
      <c r="J322" s="109" t="s">
        <v>39</v>
      </c>
      <c r="K322" s="109" t="s">
        <v>633</v>
      </c>
      <c r="L322" s="111">
        <v>4</v>
      </c>
      <c r="M322" s="104">
        <v>1.76</v>
      </c>
      <c r="N322" s="104">
        <f t="shared" si="45"/>
        <v>7.04</v>
      </c>
    </row>
    <row r="323" spans="2:14" ht="63.75">
      <c r="B323" s="109" t="s">
        <v>373</v>
      </c>
      <c r="C323" s="110" t="s">
        <v>374</v>
      </c>
      <c r="D323" s="111" t="s">
        <v>39</v>
      </c>
      <c r="E323" s="109" t="s">
        <v>542</v>
      </c>
      <c r="F323" s="104">
        <f t="shared" si="44"/>
        <v>86.36755000000001</v>
      </c>
      <c r="G323" s="109" t="s">
        <v>536</v>
      </c>
      <c r="H323" s="111"/>
      <c r="I323" s="109" t="s">
        <v>646</v>
      </c>
      <c r="J323" s="109" t="s">
        <v>39</v>
      </c>
      <c r="K323" s="109" t="s">
        <v>633</v>
      </c>
      <c r="L323" s="111">
        <v>16.8</v>
      </c>
      <c r="M323" s="104">
        <v>0.53</v>
      </c>
      <c r="N323" s="104">
        <f t="shared" si="45"/>
        <v>8.904000000000002</v>
      </c>
    </row>
    <row r="324" spans="2:14" ht="63.75">
      <c r="B324" s="109" t="s">
        <v>373</v>
      </c>
      <c r="C324" s="110" t="s">
        <v>374</v>
      </c>
      <c r="D324" s="111" t="s">
        <v>39</v>
      </c>
      <c r="E324" s="109" t="s">
        <v>542</v>
      </c>
      <c r="F324" s="104">
        <f t="shared" si="44"/>
        <v>86.36755000000001</v>
      </c>
      <c r="G324" s="109" t="s">
        <v>536</v>
      </c>
      <c r="H324" s="111"/>
      <c r="I324" s="109" t="s">
        <v>647</v>
      </c>
      <c r="J324" s="109" t="s">
        <v>39</v>
      </c>
      <c r="K324" s="109" t="s">
        <v>633</v>
      </c>
      <c r="L324" s="111">
        <v>16.8</v>
      </c>
      <c r="M324" s="104">
        <v>0.8</v>
      </c>
      <c r="N324" s="104">
        <f t="shared" si="45"/>
        <v>13.440000000000001</v>
      </c>
    </row>
    <row r="325" spans="2:14" ht="63.75">
      <c r="B325" s="109" t="s">
        <v>373</v>
      </c>
      <c r="C325" s="110" t="s">
        <v>374</v>
      </c>
      <c r="D325" s="111" t="s">
        <v>39</v>
      </c>
      <c r="E325" s="109" t="s">
        <v>542</v>
      </c>
      <c r="F325" s="104">
        <f t="shared" si="44"/>
        <v>86.36755000000001</v>
      </c>
      <c r="G325" s="109" t="s">
        <v>536</v>
      </c>
      <c r="H325" s="111"/>
      <c r="I325" s="109" t="s">
        <v>648</v>
      </c>
      <c r="J325" s="109" t="s">
        <v>39</v>
      </c>
      <c r="K325" s="109" t="s">
        <v>633</v>
      </c>
      <c r="L325" s="111">
        <v>16.8</v>
      </c>
      <c r="M325" s="104">
        <v>0.2</v>
      </c>
      <c r="N325" s="104">
        <f t="shared" si="45"/>
        <v>3.3600000000000003</v>
      </c>
    </row>
    <row r="326" spans="2:14" ht="63.75">
      <c r="B326" s="109" t="s">
        <v>373</v>
      </c>
      <c r="C326" s="110" t="s">
        <v>374</v>
      </c>
      <c r="D326" s="111" t="s">
        <v>39</v>
      </c>
      <c r="E326" s="109" t="s">
        <v>542</v>
      </c>
      <c r="F326" s="104">
        <f t="shared" si="44"/>
        <v>86.36755000000001</v>
      </c>
      <c r="G326" s="109" t="s">
        <v>639</v>
      </c>
      <c r="H326" s="111">
        <v>88247</v>
      </c>
      <c r="I326" s="109" t="s">
        <v>640</v>
      </c>
      <c r="J326" s="109" t="s">
        <v>459</v>
      </c>
      <c r="K326" s="109" t="s">
        <v>547</v>
      </c>
      <c r="L326" s="111">
        <v>0.527</v>
      </c>
      <c r="M326" s="111">
        <v>20.42</v>
      </c>
      <c r="N326" s="104">
        <f t="shared" si="45"/>
        <v>10.76134</v>
      </c>
    </row>
    <row r="327" spans="2:14" ht="63.75">
      <c r="B327" s="109" t="s">
        <v>373</v>
      </c>
      <c r="C327" s="110" t="s">
        <v>374</v>
      </c>
      <c r="D327" s="111" t="s">
        <v>39</v>
      </c>
      <c r="E327" s="109" t="s">
        <v>542</v>
      </c>
      <c r="F327" s="104">
        <f t="shared" si="44"/>
        <v>86.36755000000001</v>
      </c>
      <c r="G327" s="109" t="s">
        <v>639</v>
      </c>
      <c r="H327" s="111">
        <v>88264</v>
      </c>
      <c r="I327" s="109" t="s">
        <v>641</v>
      </c>
      <c r="J327" s="109" t="s">
        <v>459</v>
      </c>
      <c r="K327" s="109" t="s">
        <v>547</v>
      </c>
      <c r="L327" s="111">
        <v>0.527</v>
      </c>
      <c r="M327" s="111">
        <v>23.23</v>
      </c>
      <c r="N327" s="104">
        <f t="shared" si="45"/>
        <v>12.24221</v>
      </c>
    </row>
    <row r="328" spans="2:14" ht="15">
      <c r="B328" s="108"/>
      <c r="C328" s="115"/>
      <c r="D328" s="108"/>
      <c r="E328" s="108"/>
      <c r="F328" s="108"/>
      <c r="G328" s="112"/>
      <c r="H328" s="108"/>
      <c r="I328" s="112"/>
      <c r="J328" s="113"/>
      <c r="K328" s="108"/>
      <c r="L328" s="113"/>
      <c r="M328" s="113"/>
      <c r="N328" s="104">
        <f>SUM(N321:N327)</f>
        <v>86.36755000000001</v>
      </c>
    </row>
    <row r="330" spans="2:14" ht="51">
      <c r="B330" s="109" t="s">
        <v>324</v>
      </c>
      <c r="C330" s="119" t="s">
        <v>325</v>
      </c>
      <c r="D330" s="111" t="s">
        <v>39</v>
      </c>
      <c r="E330" s="109" t="s">
        <v>453</v>
      </c>
      <c r="F330" s="104">
        <f>N$335</f>
        <v>405.48858</v>
      </c>
      <c r="G330" s="112"/>
      <c r="H330" s="108"/>
      <c r="I330" s="112"/>
      <c r="J330" s="113"/>
      <c r="K330" s="108"/>
      <c r="L330" s="113"/>
      <c r="M330" s="113"/>
      <c r="N330" s="114"/>
    </row>
    <row r="331" spans="2:14" ht="51">
      <c r="B331" s="109" t="s">
        <v>324</v>
      </c>
      <c r="C331" s="119" t="s">
        <v>325</v>
      </c>
      <c r="D331" s="111" t="s">
        <v>39</v>
      </c>
      <c r="E331" s="109" t="s">
        <v>453</v>
      </c>
      <c r="F331" s="104">
        <f>N$335</f>
        <v>405.48858</v>
      </c>
      <c r="G331" s="109" t="s">
        <v>536</v>
      </c>
      <c r="H331" s="111"/>
      <c r="I331" s="121" t="s">
        <v>719</v>
      </c>
      <c r="J331" s="109" t="s">
        <v>39</v>
      </c>
      <c r="K331" s="109" t="s">
        <v>453</v>
      </c>
      <c r="L331" s="111">
        <v>1</v>
      </c>
      <c r="M331" s="104">
        <v>394.37</v>
      </c>
      <c r="N331" s="104">
        <f>L331*M331</f>
        <v>394.37</v>
      </c>
    </row>
    <row r="332" spans="2:14" ht="63.75">
      <c r="B332" s="109" t="s">
        <v>324</v>
      </c>
      <c r="C332" s="119" t="s">
        <v>325</v>
      </c>
      <c r="D332" s="111" t="s">
        <v>39</v>
      </c>
      <c r="E332" s="109" t="s">
        <v>453</v>
      </c>
      <c r="F332" s="104">
        <f>N$335</f>
        <v>405.48858</v>
      </c>
      <c r="G332" s="109" t="s">
        <v>536</v>
      </c>
      <c r="H332" s="111">
        <v>1576</v>
      </c>
      <c r="I332" s="121" t="s">
        <v>681</v>
      </c>
      <c r="J332" s="109" t="s">
        <v>39</v>
      </c>
      <c r="K332" s="109" t="s">
        <v>542</v>
      </c>
      <c r="L332" s="111">
        <v>1</v>
      </c>
      <c r="M332" s="104">
        <v>2.86</v>
      </c>
      <c r="N332" s="104">
        <f>L332*M332</f>
        <v>2.86</v>
      </c>
    </row>
    <row r="333" spans="2:14" ht="63.75">
      <c r="B333" s="109" t="s">
        <v>324</v>
      </c>
      <c r="C333" s="119" t="s">
        <v>325</v>
      </c>
      <c r="D333" s="111" t="s">
        <v>39</v>
      </c>
      <c r="E333" s="109" t="s">
        <v>453</v>
      </c>
      <c r="F333" s="104">
        <f>N$335</f>
        <v>405.48858</v>
      </c>
      <c r="G333" s="109" t="s">
        <v>639</v>
      </c>
      <c r="H333" s="111">
        <v>88247</v>
      </c>
      <c r="I333" s="109" t="s">
        <v>665</v>
      </c>
      <c r="J333" s="109" t="s">
        <v>459</v>
      </c>
      <c r="K333" s="109" t="s">
        <v>542</v>
      </c>
      <c r="L333" s="111">
        <v>0.1892</v>
      </c>
      <c r="M333" s="111">
        <v>20.42</v>
      </c>
      <c r="N333" s="104">
        <f>L333*M333</f>
        <v>3.8634640000000005</v>
      </c>
    </row>
    <row r="334" spans="2:14" ht="51">
      <c r="B334" s="109" t="s">
        <v>324</v>
      </c>
      <c r="C334" s="119" t="s">
        <v>325</v>
      </c>
      <c r="D334" s="111" t="s">
        <v>39</v>
      </c>
      <c r="E334" s="109" t="s">
        <v>453</v>
      </c>
      <c r="F334" s="104">
        <f>N$335</f>
        <v>405.48858</v>
      </c>
      <c r="G334" s="109" t="s">
        <v>639</v>
      </c>
      <c r="H334" s="111">
        <v>88264</v>
      </c>
      <c r="I334" s="109" t="s">
        <v>641</v>
      </c>
      <c r="J334" s="109" t="s">
        <v>459</v>
      </c>
      <c r="K334" s="109" t="s">
        <v>547</v>
      </c>
      <c r="L334" s="111">
        <v>0.1892</v>
      </c>
      <c r="M334" s="111">
        <v>23.23</v>
      </c>
      <c r="N334" s="104">
        <f>L334*M334</f>
        <v>4.395116</v>
      </c>
    </row>
    <row r="335" spans="2:14" ht="15">
      <c r="B335" s="108"/>
      <c r="C335" s="115"/>
      <c r="D335" s="108"/>
      <c r="E335" s="108"/>
      <c r="F335" s="108"/>
      <c r="G335" s="112"/>
      <c r="H335" s="108"/>
      <c r="I335" s="112"/>
      <c r="J335" s="113"/>
      <c r="K335" s="108"/>
      <c r="L335" s="113"/>
      <c r="M335" s="113"/>
      <c r="N335" s="104">
        <f>SUM(N331:N334)</f>
        <v>405.48858</v>
      </c>
    </row>
    <row r="337" spans="2:14" ht="51">
      <c r="B337" s="109" t="s">
        <v>327</v>
      </c>
      <c r="C337" s="119" t="s">
        <v>328</v>
      </c>
      <c r="D337" s="111" t="s">
        <v>39</v>
      </c>
      <c r="E337" s="109" t="s">
        <v>453</v>
      </c>
      <c r="F337" s="104">
        <f>N$342</f>
        <v>410.04858</v>
      </c>
      <c r="G337" s="112"/>
      <c r="H337" s="108"/>
      <c r="I337" s="112"/>
      <c r="J337" s="113"/>
      <c r="K337" s="108"/>
      <c r="L337" s="113"/>
      <c r="M337" s="113"/>
      <c r="N337" s="114"/>
    </row>
    <row r="338" spans="2:14" ht="51">
      <c r="B338" s="109" t="s">
        <v>327</v>
      </c>
      <c r="C338" s="119" t="s">
        <v>328</v>
      </c>
      <c r="D338" s="111" t="s">
        <v>39</v>
      </c>
      <c r="E338" s="109" t="s">
        <v>453</v>
      </c>
      <c r="F338" s="104">
        <f>N$342</f>
        <v>410.04858</v>
      </c>
      <c r="G338" s="109" t="s">
        <v>536</v>
      </c>
      <c r="H338" s="111"/>
      <c r="I338" s="121" t="s">
        <v>720</v>
      </c>
      <c r="J338" s="109" t="s">
        <v>39</v>
      </c>
      <c r="K338" s="109" t="s">
        <v>453</v>
      </c>
      <c r="L338" s="111">
        <v>1</v>
      </c>
      <c r="M338" s="104">
        <v>398.93</v>
      </c>
      <c r="N338" s="104">
        <f>L338*M338</f>
        <v>398.93</v>
      </c>
    </row>
    <row r="339" spans="2:14" ht="63.75">
      <c r="B339" s="109" t="s">
        <v>327</v>
      </c>
      <c r="C339" s="119" t="s">
        <v>328</v>
      </c>
      <c r="D339" s="111" t="s">
        <v>39</v>
      </c>
      <c r="E339" s="109" t="s">
        <v>453</v>
      </c>
      <c r="F339" s="104">
        <f>N$342</f>
        <v>410.04858</v>
      </c>
      <c r="G339" s="109" t="s">
        <v>536</v>
      </c>
      <c r="H339" s="111">
        <v>1576</v>
      </c>
      <c r="I339" s="121" t="s">
        <v>681</v>
      </c>
      <c r="J339" s="109" t="s">
        <v>39</v>
      </c>
      <c r="K339" s="109" t="s">
        <v>542</v>
      </c>
      <c r="L339" s="111">
        <v>1</v>
      </c>
      <c r="M339" s="104">
        <v>2.86</v>
      </c>
      <c r="N339" s="104">
        <f>L339*M339</f>
        <v>2.86</v>
      </c>
    </row>
    <row r="340" spans="2:14" ht="63.75">
      <c r="B340" s="109" t="s">
        <v>327</v>
      </c>
      <c r="C340" s="119" t="s">
        <v>328</v>
      </c>
      <c r="D340" s="111" t="s">
        <v>39</v>
      </c>
      <c r="E340" s="109" t="s">
        <v>453</v>
      </c>
      <c r="F340" s="104">
        <f>N$342</f>
        <v>410.04858</v>
      </c>
      <c r="G340" s="109" t="s">
        <v>639</v>
      </c>
      <c r="H340" s="111">
        <v>88247</v>
      </c>
      <c r="I340" s="109" t="s">
        <v>665</v>
      </c>
      <c r="J340" s="109" t="s">
        <v>459</v>
      </c>
      <c r="K340" s="109" t="s">
        <v>542</v>
      </c>
      <c r="L340" s="111">
        <v>0.1892</v>
      </c>
      <c r="M340" s="111">
        <v>20.42</v>
      </c>
      <c r="N340" s="104">
        <f>L340*M340</f>
        <v>3.8634640000000005</v>
      </c>
    </row>
    <row r="341" spans="2:14" ht="51">
      <c r="B341" s="109" t="s">
        <v>327</v>
      </c>
      <c r="C341" s="119" t="s">
        <v>328</v>
      </c>
      <c r="D341" s="111" t="s">
        <v>39</v>
      </c>
      <c r="E341" s="109" t="s">
        <v>453</v>
      </c>
      <c r="F341" s="104">
        <f>N$342</f>
        <v>410.04858</v>
      </c>
      <c r="G341" s="109" t="s">
        <v>639</v>
      </c>
      <c r="H341" s="111">
        <v>88264</v>
      </c>
      <c r="I341" s="109" t="s">
        <v>641</v>
      </c>
      <c r="J341" s="109" t="s">
        <v>459</v>
      </c>
      <c r="K341" s="109" t="s">
        <v>547</v>
      </c>
      <c r="L341" s="111">
        <v>0.1892</v>
      </c>
      <c r="M341" s="111">
        <v>23.23</v>
      </c>
      <c r="N341" s="104">
        <f>L341*M341</f>
        <v>4.395116</v>
      </c>
    </row>
    <row r="342" spans="2:14" ht="15">
      <c r="B342" s="108"/>
      <c r="C342" s="115"/>
      <c r="D342" s="108"/>
      <c r="E342" s="108"/>
      <c r="F342" s="108"/>
      <c r="G342" s="112"/>
      <c r="H342" s="108"/>
      <c r="I342" s="112"/>
      <c r="J342" s="113"/>
      <c r="K342" s="108"/>
      <c r="L342" s="113"/>
      <c r="M342" s="113"/>
      <c r="N342" s="104">
        <f>SUM(N338:N341)</f>
        <v>410.04858</v>
      </c>
    </row>
  </sheetData>
  <mergeCells count="1">
    <mergeCell ref="A2:N2"/>
  </mergeCells>
  <printOptions/>
  <pageMargins left="0.511805555555555" right="0.511805555555555" top="0.7875" bottom="0.7875" header="0.511805555555555" footer="0.51180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B38"/>
  <sheetViews>
    <sheetView workbookViewId="0" topLeftCell="A1">
      <selection activeCell="A1" sqref="A1:O3"/>
    </sheetView>
  </sheetViews>
  <sheetFormatPr defaultColWidth="9.140625" defaultRowHeight="15"/>
  <cols>
    <col min="1" max="2" width="8.7109375" style="0" customWidth="1"/>
    <col min="3" max="3" width="36.57421875" style="0" customWidth="1"/>
    <col min="4" max="4" width="10.00390625" style="0" customWidth="1"/>
    <col min="5" max="5" width="11.421875" style="0" customWidth="1"/>
    <col min="6" max="6" width="8.7109375" style="0" customWidth="1"/>
    <col min="7" max="7" width="5.28125" style="0" customWidth="1"/>
    <col min="8" max="8" width="0.13671875" style="0" customWidth="1"/>
    <col min="9" max="9" width="38.28125" style="0" hidden="1" customWidth="1"/>
    <col min="10" max="10" width="8.00390625" style="0" hidden="1" customWidth="1"/>
    <col min="11" max="12" width="8.8515625" style="0" hidden="1" customWidth="1"/>
    <col min="13" max="13" width="1.7109375" style="0" hidden="1" customWidth="1"/>
    <col min="14" max="15" width="8.8515625" style="0" hidden="1" customWidth="1"/>
    <col min="16" max="18" width="8.7109375" style="0" customWidth="1"/>
    <col min="19" max="19" width="52.28125" style="0" customWidth="1"/>
    <col min="20" max="20" width="9.57421875" style="0" customWidth="1"/>
    <col min="21" max="1025" width="8.7109375" style="0" customWidth="1"/>
  </cols>
  <sheetData>
    <row r="1" spans="1:24" ht="14.45" customHeight="1">
      <c r="A1" s="2" t="s">
        <v>721</v>
      </c>
      <c r="B1" s="2"/>
      <c r="C1" s="2"/>
      <c r="D1" s="2"/>
      <c r="E1" s="2"/>
      <c r="F1" s="2"/>
      <c r="G1" s="2"/>
      <c r="H1" s="2"/>
      <c r="I1" s="2"/>
      <c r="J1" s="2"/>
      <c r="K1" s="2"/>
      <c r="L1" s="2"/>
      <c r="M1" s="2"/>
      <c r="N1" s="2"/>
      <c r="O1" s="2"/>
      <c r="S1" s="124" t="s">
        <v>722</v>
      </c>
      <c r="T1" s="125"/>
      <c r="U1" s="125"/>
      <c r="V1" s="125"/>
      <c r="W1" s="125"/>
      <c r="X1" s="125"/>
    </row>
    <row r="2" spans="1:15" ht="14.45" customHeight="1">
      <c r="A2" s="2"/>
      <c r="B2" s="2"/>
      <c r="C2" s="2"/>
      <c r="D2" s="2"/>
      <c r="E2" s="2"/>
      <c r="F2" s="2"/>
      <c r="G2" s="2"/>
      <c r="H2" s="2"/>
      <c r="I2" s="2"/>
      <c r="J2" s="2"/>
      <c r="K2" s="2"/>
      <c r="L2" s="2"/>
      <c r="M2" s="2"/>
      <c r="N2" s="2"/>
      <c r="O2" s="2"/>
    </row>
    <row r="3" spans="1:28" ht="15" customHeight="1">
      <c r="A3" s="2"/>
      <c r="B3" s="2"/>
      <c r="C3" s="2"/>
      <c r="D3" s="2"/>
      <c r="E3" s="2"/>
      <c r="F3" s="2"/>
      <c r="G3" s="2"/>
      <c r="H3" s="2"/>
      <c r="I3" s="2"/>
      <c r="J3" s="2"/>
      <c r="K3" s="2"/>
      <c r="L3" s="2"/>
      <c r="M3" s="2"/>
      <c r="N3" s="2"/>
      <c r="O3" s="2"/>
      <c r="S3" s="1" t="s">
        <v>723</v>
      </c>
      <c r="T3" s="212" t="s">
        <v>724</v>
      </c>
      <c r="U3" s="212"/>
      <c r="V3" s="212"/>
      <c r="W3" s="212" t="s">
        <v>725</v>
      </c>
      <c r="X3" s="212"/>
      <c r="Y3" s="212"/>
      <c r="Z3" s="213" t="s">
        <v>726</v>
      </c>
      <c r="AA3" s="213"/>
      <c r="AB3" s="213"/>
    </row>
    <row r="4" spans="2:28" ht="15">
      <c r="B4" t="s">
        <v>727</v>
      </c>
      <c r="S4" s="1"/>
      <c r="T4" s="127" t="s">
        <v>728</v>
      </c>
      <c r="U4" s="128" t="s">
        <v>729</v>
      </c>
      <c r="V4" s="129" t="s">
        <v>730</v>
      </c>
      <c r="W4" s="127" t="s">
        <v>728</v>
      </c>
      <c r="X4" s="128" t="s">
        <v>729</v>
      </c>
      <c r="Y4" s="129" t="s">
        <v>730</v>
      </c>
      <c r="Z4" s="127" t="s">
        <v>728</v>
      </c>
      <c r="AA4" s="128" t="s">
        <v>729</v>
      </c>
      <c r="AB4" s="129" t="s">
        <v>730</v>
      </c>
    </row>
    <row r="5" spans="2:28" ht="15">
      <c r="B5" s="130" t="s">
        <v>731</v>
      </c>
      <c r="C5" s="130"/>
      <c r="D5" s="124"/>
      <c r="E5" s="124"/>
      <c r="M5" s="131"/>
      <c r="N5" s="132"/>
      <c r="S5" s="133" t="s">
        <v>732</v>
      </c>
      <c r="T5" s="134">
        <v>0.03</v>
      </c>
      <c r="U5" s="135">
        <v>0.04</v>
      </c>
      <c r="V5" s="136">
        <v>0.055</v>
      </c>
      <c r="W5" s="137">
        <v>0.008</v>
      </c>
      <c r="X5" s="135">
        <v>0.008</v>
      </c>
      <c r="Y5" s="136">
        <v>0.01</v>
      </c>
      <c r="Z5" s="137">
        <v>0.0097</v>
      </c>
      <c r="AA5" s="138">
        <v>0.0127</v>
      </c>
      <c r="AB5" s="136">
        <v>0.0127</v>
      </c>
    </row>
    <row r="6" spans="19:28" ht="15">
      <c r="S6" s="133" t="s">
        <v>733</v>
      </c>
      <c r="T6" s="134">
        <v>0.038</v>
      </c>
      <c r="U6" s="135">
        <v>0.0401</v>
      </c>
      <c r="V6" s="136">
        <v>0.0467</v>
      </c>
      <c r="W6" s="137">
        <v>0.0032</v>
      </c>
      <c r="X6" s="135">
        <v>0.004</v>
      </c>
      <c r="Y6" s="136">
        <v>0.0074</v>
      </c>
      <c r="Z6" s="137">
        <v>0.005</v>
      </c>
      <c r="AA6" s="138">
        <v>0.0056</v>
      </c>
      <c r="AB6" s="136">
        <v>0.0097</v>
      </c>
    </row>
    <row r="7" spans="1:28" ht="30">
      <c r="A7" s="139"/>
      <c r="B7" s="214" t="s">
        <v>6</v>
      </c>
      <c r="C7" s="215" t="s">
        <v>734</v>
      </c>
      <c r="D7" s="140" t="s">
        <v>735</v>
      </c>
      <c r="E7" s="141" t="s">
        <v>735</v>
      </c>
      <c r="F7" s="142"/>
      <c r="G7" s="143"/>
      <c r="M7" s="144"/>
      <c r="N7" s="145"/>
      <c r="S7" s="146" t="s">
        <v>736</v>
      </c>
      <c r="T7" s="147">
        <v>0.0343</v>
      </c>
      <c r="U7" s="148">
        <v>0.0493</v>
      </c>
      <c r="V7" s="149">
        <v>0.0671</v>
      </c>
      <c r="W7" s="147">
        <v>0.0028</v>
      </c>
      <c r="X7" s="148">
        <v>0.0049</v>
      </c>
      <c r="Y7" s="149">
        <v>0.0075</v>
      </c>
      <c r="Z7" s="147">
        <v>0.01</v>
      </c>
      <c r="AA7" s="148">
        <v>0.0139</v>
      </c>
      <c r="AB7" s="149">
        <v>0.0174</v>
      </c>
    </row>
    <row r="8" spans="1:28" ht="30">
      <c r="A8" s="139"/>
      <c r="B8" s="214"/>
      <c r="C8" s="215"/>
      <c r="D8" s="150" t="s">
        <v>737</v>
      </c>
      <c r="E8" s="151" t="s">
        <v>738</v>
      </c>
      <c r="F8" s="142"/>
      <c r="G8" s="143"/>
      <c r="M8" s="152"/>
      <c r="N8" s="153"/>
      <c r="S8" s="154" t="s">
        <v>739</v>
      </c>
      <c r="T8" s="147">
        <v>0.0529</v>
      </c>
      <c r="U8" s="148">
        <v>0.0592</v>
      </c>
      <c r="V8" s="149">
        <v>0.0793</v>
      </c>
      <c r="W8" s="147">
        <v>0.0025</v>
      </c>
      <c r="X8" s="148">
        <v>0.0051</v>
      </c>
      <c r="Y8" s="149">
        <v>0.0056</v>
      </c>
      <c r="Z8" s="147">
        <v>0.01</v>
      </c>
      <c r="AA8" s="148">
        <v>0.0148</v>
      </c>
      <c r="AB8" s="149">
        <v>0.0197</v>
      </c>
    </row>
    <row r="9" spans="1:28" ht="15">
      <c r="A9" s="139"/>
      <c r="B9" s="155"/>
      <c r="C9" s="156"/>
      <c r="D9" s="157"/>
      <c r="E9" s="158"/>
      <c r="F9" s="142"/>
      <c r="G9" s="143"/>
      <c r="M9" s="152"/>
      <c r="N9" s="153"/>
      <c r="S9" s="133" t="s">
        <v>740</v>
      </c>
      <c r="T9" s="137">
        <v>0.04</v>
      </c>
      <c r="U9" s="135">
        <v>0.0552</v>
      </c>
      <c r="V9" s="136">
        <v>0.0785</v>
      </c>
      <c r="W9" s="159">
        <v>0.81</v>
      </c>
      <c r="X9" s="138">
        <v>0.0122</v>
      </c>
      <c r="Y9" s="136">
        <v>0.0199</v>
      </c>
      <c r="Z9" s="137">
        <v>0.0146</v>
      </c>
      <c r="AA9" s="138">
        <v>0.0232</v>
      </c>
      <c r="AB9" s="136">
        <v>0.0316</v>
      </c>
    </row>
    <row r="10" spans="1:14" ht="15">
      <c r="A10" s="139"/>
      <c r="B10" s="160">
        <v>1</v>
      </c>
      <c r="C10" s="161" t="s">
        <v>741</v>
      </c>
      <c r="D10" s="162" t="s">
        <v>742</v>
      </c>
      <c r="E10" s="163">
        <v>3.8</v>
      </c>
      <c r="F10" s="164"/>
      <c r="G10" s="165"/>
      <c r="M10" s="152"/>
      <c r="N10" s="153"/>
    </row>
    <row r="11" spans="1:26" ht="15">
      <c r="A11" s="139"/>
      <c r="B11" s="166" t="s">
        <v>15</v>
      </c>
      <c r="C11" s="167" t="s">
        <v>743</v>
      </c>
      <c r="D11" s="168" t="s">
        <v>742</v>
      </c>
      <c r="E11" s="169" t="s">
        <v>742</v>
      </c>
      <c r="F11" s="170"/>
      <c r="G11" s="171"/>
      <c r="M11" s="152"/>
      <c r="N11" s="153"/>
      <c r="S11" s="1" t="s">
        <v>723</v>
      </c>
      <c r="T11" s="1"/>
      <c r="U11" s="216" t="s">
        <v>744</v>
      </c>
      <c r="V11" s="216"/>
      <c r="W11" s="216"/>
      <c r="X11" s="212" t="s">
        <v>745</v>
      </c>
      <c r="Y11" s="212"/>
      <c r="Z11" s="212"/>
    </row>
    <row r="12" spans="1:26" ht="15">
      <c r="A12" s="139"/>
      <c r="B12" s="166" t="s">
        <v>746</v>
      </c>
      <c r="C12" s="167" t="s">
        <v>747</v>
      </c>
      <c r="D12" s="168" t="s">
        <v>742</v>
      </c>
      <c r="E12" s="169" t="s">
        <v>742</v>
      </c>
      <c r="F12" s="170"/>
      <c r="G12" s="171"/>
      <c r="M12" s="152"/>
      <c r="N12" s="153"/>
      <c r="S12" s="1"/>
      <c r="T12" s="1"/>
      <c r="U12" s="172" t="s">
        <v>728</v>
      </c>
      <c r="V12" s="173" t="s">
        <v>729</v>
      </c>
      <c r="W12" s="174" t="s">
        <v>730</v>
      </c>
      <c r="X12" s="172" t="s">
        <v>728</v>
      </c>
      <c r="Y12" s="173" t="s">
        <v>729</v>
      </c>
      <c r="Z12" s="126" t="s">
        <v>730</v>
      </c>
    </row>
    <row r="13" spans="1:26" ht="15">
      <c r="A13" s="139"/>
      <c r="B13" s="166" t="s">
        <v>748</v>
      </c>
      <c r="C13" s="167" t="s">
        <v>749</v>
      </c>
      <c r="D13" s="168" t="s">
        <v>742</v>
      </c>
      <c r="E13" s="169" t="s">
        <v>742</v>
      </c>
      <c r="F13" s="170"/>
      <c r="G13" s="171"/>
      <c r="M13" s="152"/>
      <c r="N13" s="153"/>
      <c r="S13" s="217" t="s">
        <v>732</v>
      </c>
      <c r="T13" s="217"/>
      <c r="U13" s="137">
        <v>0.0059</v>
      </c>
      <c r="V13" s="138">
        <v>0.0123</v>
      </c>
      <c r="W13" s="175">
        <v>0.0139</v>
      </c>
      <c r="X13" s="137">
        <v>0.0616</v>
      </c>
      <c r="Y13" s="138">
        <v>0.074</v>
      </c>
      <c r="Z13" s="136">
        <v>0.0896</v>
      </c>
    </row>
    <row r="14" spans="1:26" ht="15">
      <c r="A14" s="139"/>
      <c r="B14" s="176" t="s">
        <v>742</v>
      </c>
      <c r="C14" s="167" t="s">
        <v>742</v>
      </c>
      <c r="D14" s="168" t="s">
        <v>742</v>
      </c>
      <c r="E14" s="169" t="s">
        <v>742</v>
      </c>
      <c r="F14" s="170"/>
      <c r="G14" s="171"/>
      <c r="M14" s="152"/>
      <c r="N14" s="153"/>
      <c r="S14" s="217" t="s">
        <v>733</v>
      </c>
      <c r="T14" s="217"/>
      <c r="U14" s="137">
        <v>0.0102</v>
      </c>
      <c r="V14" s="138">
        <v>0.0111</v>
      </c>
      <c r="W14" s="175">
        <v>0.0121</v>
      </c>
      <c r="X14" s="137">
        <v>0.0664</v>
      </c>
      <c r="Y14" s="138">
        <v>0.073</v>
      </c>
      <c r="Z14" s="136">
        <v>0.0869</v>
      </c>
    </row>
    <row r="15" spans="1:26" ht="15.75" customHeight="1">
      <c r="A15" s="139"/>
      <c r="B15" s="160">
        <v>2</v>
      </c>
      <c r="C15" s="161" t="s">
        <v>750</v>
      </c>
      <c r="D15" s="177">
        <f>SUM(D16:D19)</f>
        <v>10.15</v>
      </c>
      <c r="E15" s="178"/>
      <c r="F15" s="170"/>
      <c r="G15" s="165"/>
      <c r="M15" s="152"/>
      <c r="N15" s="153"/>
      <c r="S15" s="218" t="s">
        <v>736</v>
      </c>
      <c r="T15" s="218"/>
      <c r="U15" s="147">
        <v>0.0094</v>
      </c>
      <c r="V15" s="148">
        <v>0.0099</v>
      </c>
      <c r="W15" s="179">
        <v>0.0117</v>
      </c>
      <c r="X15" s="147">
        <v>0.0674</v>
      </c>
      <c r="Y15" s="148">
        <v>0.0804</v>
      </c>
      <c r="Z15" s="149">
        <v>0.094</v>
      </c>
    </row>
    <row r="16" spans="1:26" ht="15.75" customHeight="1">
      <c r="A16" s="139"/>
      <c r="B16" s="166" t="s">
        <v>20</v>
      </c>
      <c r="C16" s="180" t="s">
        <v>751</v>
      </c>
      <c r="D16" s="168">
        <v>2</v>
      </c>
      <c r="E16" s="169"/>
      <c r="F16" s="170"/>
      <c r="G16" s="171"/>
      <c r="M16" s="152"/>
      <c r="N16" s="153"/>
      <c r="S16" s="218" t="s">
        <v>739</v>
      </c>
      <c r="T16" s="218"/>
      <c r="U16" s="147">
        <v>0.0101</v>
      </c>
      <c r="V16" s="148">
        <v>0.0107</v>
      </c>
      <c r="W16" s="179">
        <v>0.0111</v>
      </c>
      <c r="X16" s="147">
        <v>0.08</v>
      </c>
      <c r="Y16" s="148">
        <v>0.0831</v>
      </c>
      <c r="Z16" s="149">
        <v>0.0951</v>
      </c>
    </row>
    <row r="17" spans="1:26" ht="15">
      <c r="A17" s="139"/>
      <c r="B17" s="166" t="s">
        <v>23</v>
      </c>
      <c r="C17" s="167" t="s">
        <v>752</v>
      </c>
      <c r="D17" s="168">
        <v>0.65</v>
      </c>
      <c r="E17" s="169"/>
      <c r="F17" s="170"/>
      <c r="G17" s="171"/>
      <c r="M17" s="181"/>
      <c r="N17" s="182"/>
      <c r="S17" s="217" t="s">
        <v>740</v>
      </c>
      <c r="T17" s="217"/>
      <c r="U17" s="137">
        <v>0.0094</v>
      </c>
      <c r="V17" s="138">
        <v>0.0102</v>
      </c>
      <c r="W17" s="175">
        <v>0.0133</v>
      </c>
      <c r="X17" s="137">
        <v>0.0714</v>
      </c>
      <c r="Y17" s="138">
        <v>0.084</v>
      </c>
      <c r="Z17" s="136">
        <v>0.1043</v>
      </c>
    </row>
    <row r="18" spans="1:7" ht="15">
      <c r="A18" s="139"/>
      <c r="B18" s="166" t="s">
        <v>26</v>
      </c>
      <c r="C18" s="167" t="s">
        <v>753</v>
      </c>
      <c r="D18" s="183">
        <v>3</v>
      </c>
      <c r="E18" s="169"/>
      <c r="F18" s="170"/>
      <c r="G18" s="184"/>
    </row>
    <row r="19" spans="1:7" ht="15">
      <c r="A19" s="139"/>
      <c r="B19" s="166" t="s">
        <v>29</v>
      </c>
      <c r="C19" s="167" t="s">
        <v>754</v>
      </c>
      <c r="D19" s="168">
        <v>4.5</v>
      </c>
      <c r="E19" s="169"/>
      <c r="F19" s="170"/>
      <c r="G19" s="165"/>
    </row>
    <row r="20" spans="1:26" ht="15" customHeight="1">
      <c r="A20" s="139"/>
      <c r="B20" s="160">
        <v>3</v>
      </c>
      <c r="C20" s="161" t="s">
        <v>755</v>
      </c>
      <c r="D20" s="185" t="s">
        <v>742</v>
      </c>
      <c r="E20" s="178">
        <f>SUM(E21:E23)</f>
        <v>1.77</v>
      </c>
      <c r="F20" s="170"/>
      <c r="G20" s="165"/>
      <c r="S20" s="219" t="s">
        <v>756</v>
      </c>
      <c r="T20" s="219"/>
      <c r="U20" s="219"/>
      <c r="V20" s="219"/>
      <c r="W20" s="219"/>
      <c r="X20" s="219"/>
      <c r="Y20" s="219"/>
      <c r="Z20" s="219"/>
    </row>
    <row r="21" spans="1:26" ht="15">
      <c r="A21" s="139"/>
      <c r="B21" s="166" t="s">
        <v>57</v>
      </c>
      <c r="C21" s="167" t="s">
        <v>757</v>
      </c>
      <c r="D21" s="168"/>
      <c r="E21" s="169">
        <v>0.4</v>
      </c>
      <c r="F21" s="170"/>
      <c r="G21" s="165"/>
      <c r="S21" s="219"/>
      <c r="T21" s="219"/>
      <c r="U21" s="219"/>
      <c r="V21" s="219"/>
      <c r="W21" s="219"/>
      <c r="X21" s="219"/>
      <c r="Y21" s="219"/>
      <c r="Z21" s="219"/>
    </row>
    <row r="22" spans="1:26" ht="15">
      <c r="A22" s="139"/>
      <c r="B22" s="166" t="s">
        <v>60</v>
      </c>
      <c r="C22" s="167" t="s">
        <v>758</v>
      </c>
      <c r="D22" s="168"/>
      <c r="E22" s="169">
        <v>0.97</v>
      </c>
      <c r="F22" s="170"/>
      <c r="G22" s="165"/>
      <c r="S22" s="219"/>
      <c r="T22" s="219"/>
      <c r="U22" s="219"/>
      <c r="V22" s="219"/>
      <c r="W22" s="219"/>
      <c r="X22" s="219"/>
      <c r="Y22" s="219"/>
      <c r="Z22" s="219"/>
    </row>
    <row r="23" spans="1:7" ht="15">
      <c r="A23" s="139"/>
      <c r="B23" s="166" t="s">
        <v>60</v>
      </c>
      <c r="C23" s="167" t="s">
        <v>759</v>
      </c>
      <c r="D23" s="168"/>
      <c r="E23" s="169">
        <v>0.4</v>
      </c>
      <c r="F23" s="170"/>
      <c r="G23" s="165"/>
    </row>
    <row r="24" spans="1:7" ht="15">
      <c r="A24" s="139"/>
      <c r="B24" s="176"/>
      <c r="C24" s="167"/>
      <c r="D24" s="168"/>
      <c r="E24" s="169"/>
      <c r="F24" s="170"/>
      <c r="G24" s="165"/>
    </row>
    <row r="25" spans="1:7" ht="15">
      <c r="A25" s="139"/>
      <c r="B25" s="160">
        <v>4</v>
      </c>
      <c r="C25" s="161" t="s">
        <v>760</v>
      </c>
      <c r="D25" s="185" t="s">
        <v>742</v>
      </c>
      <c r="E25" s="178">
        <v>0.64</v>
      </c>
      <c r="F25" s="170"/>
      <c r="G25" s="165"/>
    </row>
    <row r="26" spans="1:7" ht="15">
      <c r="A26" s="139"/>
      <c r="B26" s="176"/>
      <c r="C26" s="167"/>
      <c r="D26" s="168"/>
      <c r="E26" s="169"/>
      <c r="F26" s="170"/>
      <c r="G26" s="165"/>
    </row>
    <row r="27" spans="1:7" ht="15">
      <c r="A27" s="139"/>
      <c r="B27" s="160">
        <v>5</v>
      </c>
      <c r="C27" s="161" t="s">
        <v>761</v>
      </c>
      <c r="D27" s="186"/>
      <c r="E27" s="178">
        <v>8</v>
      </c>
      <c r="F27" s="170"/>
      <c r="G27" s="165"/>
    </row>
    <row r="28" spans="1:7" ht="15">
      <c r="A28" s="139"/>
      <c r="B28" s="176"/>
      <c r="C28" s="167"/>
      <c r="D28" s="187"/>
      <c r="E28" s="188"/>
      <c r="F28" s="170"/>
      <c r="G28" s="171"/>
    </row>
    <row r="29" spans="1:7" ht="15">
      <c r="A29" s="139"/>
      <c r="B29" s="189" t="s">
        <v>742</v>
      </c>
      <c r="C29" s="190" t="s">
        <v>762</v>
      </c>
      <c r="D29" s="191" t="s">
        <v>742</v>
      </c>
      <c r="E29" s="192">
        <f>ROUND((((1+(E10%+E21%+E22%+E23%))*(1+E25%)*(1+E27%)/(1-D15%))-(1))*100,2)</f>
        <v>27.71</v>
      </c>
      <c r="F29" s="193"/>
      <c r="G29" s="165"/>
    </row>
    <row r="30" spans="1:7" ht="15">
      <c r="A30" s="139"/>
      <c r="B30" s="139"/>
      <c r="C30" s="139"/>
      <c r="D30" s="139"/>
      <c r="E30" s="139"/>
      <c r="F30" s="139"/>
      <c r="G30" s="139"/>
    </row>
    <row r="31" spans="1:7" ht="18">
      <c r="A31" s="139"/>
      <c r="B31" s="194"/>
      <c r="C31" s="194"/>
      <c r="D31" s="194"/>
      <c r="E31" s="194"/>
      <c r="F31" s="194"/>
      <c r="G31" s="139"/>
    </row>
    <row r="32" spans="1:7" ht="18">
      <c r="A32" s="139"/>
      <c r="B32" s="220" t="s">
        <v>763</v>
      </c>
      <c r="C32" s="220"/>
      <c r="D32" s="195">
        <f>ROUND((((1+((E10+E20)/100))*(1+E25/100)*(1+E27/100))/(1-D15/100)-1)*100,2)</f>
        <v>27.71</v>
      </c>
      <c r="E32" s="139"/>
      <c r="F32" s="139"/>
      <c r="G32" s="139"/>
    </row>
    <row r="33" spans="1:7" ht="15">
      <c r="A33" s="139"/>
      <c r="B33" s="221" t="s">
        <v>742</v>
      </c>
      <c r="C33" s="221"/>
      <c r="D33" s="139"/>
      <c r="E33" s="139"/>
      <c r="F33" s="139"/>
      <c r="G33" s="139"/>
    </row>
    <row r="34" spans="1:7" ht="15">
      <c r="A34" s="139"/>
      <c r="B34" s="222" t="s">
        <v>764</v>
      </c>
      <c r="C34" s="222"/>
      <c r="D34" s="222"/>
      <c r="E34" s="222"/>
      <c r="F34" s="222"/>
      <c r="G34" s="222"/>
    </row>
    <row r="35" spans="1:7" ht="15">
      <c r="A35" s="139"/>
      <c r="B35" s="139"/>
      <c r="C35" s="139"/>
      <c r="D35" s="139"/>
      <c r="E35" s="139"/>
      <c r="F35" s="139"/>
      <c r="G35" s="139"/>
    </row>
    <row r="36" spans="1:7" ht="15.75">
      <c r="A36" s="139"/>
      <c r="B36" s="196" t="s">
        <v>765</v>
      </c>
      <c r="C36" s="139"/>
      <c r="D36" s="139"/>
      <c r="E36" s="139"/>
      <c r="F36" s="139"/>
      <c r="G36" s="139"/>
    </row>
    <row r="38" spans="2:5" ht="15">
      <c r="B38" s="197" t="s">
        <v>766</v>
      </c>
      <c r="C38" s="131"/>
      <c r="D38" s="131"/>
      <c r="E38" s="131"/>
    </row>
  </sheetData>
  <mergeCells count="19">
    <mergeCell ref="S20:Z22"/>
    <mergeCell ref="B32:C32"/>
    <mergeCell ref="B33:C33"/>
    <mergeCell ref="B34:G34"/>
    <mergeCell ref="S13:T13"/>
    <mergeCell ref="S14:T14"/>
    <mergeCell ref="S15:T15"/>
    <mergeCell ref="S16:T16"/>
    <mergeCell ref="S17:T17"/>
    <mergeCell ref="B7:B8"/>
    <mergeCell ref="C7:C8"/>
    <mergeCell ref="S11:T12"/>
    <mergeCell ref="U11:W11"/>
    <mergeCell ref="X11:Z11"/>
    <mergeCell ref="A1:O3"/>
    <mergeCell ref="S3:S4"/>
    <mergeCell ref="T3:V3"/>
    <mergeCell ref="W3:Y3"/>
    <mergeCell ref="Z3:AB3"/>
  </mergeCells>
  <printOptions/>
  <pageMargins left="0.511805555555555" right="0.511805555555555" top="0.7875" bottom="0.7875" header="0.511805555555555" footer="0.51180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A1:J26"/>
  <sheetViews>
    <sheetView tabSelected="1" workbookViewId="0" topLeftCell="A1">
      <selection activeCell="F22" sqref="F22"/>
    </sheetView>
  </sheetViews>
  <sheetFormatPr defaultColWidth="9.140625" defaultRowHeight="15"/>
  <cols>
    <col min="1" max="1" width="38.57421875" style="0" customWidth="1"/>
    <col min="2" max="2" width="14.8515625" style="0" customWidth="1"/>
    <col min="3" max="3" width="6.57421875" style="0" customWidth="1"/>
    <col min="4" max="4" width="12.28125" style="0" customWidth="1"/>
    <col min="5" max="5" width="7.00390625" style="0" customWidth="1"/>
    <col min="6" max="6" width="13.421875" style="0" customWidth="1"/>
    <col min="7" max="7" width="7.00390625" style="0" customWidth="1"/>
    <col min="8" max="8" width="13.421875" style="0" customWidth="1"/>
    <col min="9" max="9" width="5.8515625" style="0" customWidth="1"/>
    <col min="10" max="10" width="13.421875" style="0" customWidth="1"/>
    <col min="11" max="1025" width="8.7109375" style="0" customWidth="1"/>
  </cols>
  <sheetData>
    <row r="1" spans="1:10" ht="15">
      <c r="A1" s="198" t="s">
        <v>0</v>
      </c>
      <c r="B1" s="198"/>
      <c r="C1" s="199"/>
      <c r="D1" s="200"/>
      <c r="E1" s="199"/>
      <c r="F1" s="200"/>
      <c r="G1" s="199"/>
      <c r="H1" s="200"/>
      <c r="I1" s="199"/>
      <c r="J1" s="200"/>
    </row>
    <row r="2" spans="1:10" ht="15">
      <c r="A2" s="198"/>
      <c r="B2" s="198"/>
      <c r="C2" s="199"/>
      <c r="D2" s="200"/>
      <c r="E2" s="199"/>
      <c r="F2" s="200"/>
      <c r="G2" s="199"/>
      <c r="H2" s="200"/>
      <c r="I2" s="199"/>
      <c r="J2" s="200"/>
    </row>
    <row r="3" spans="1:10" ht="15">
      <c r="A3" s="198" t="s">
        <v>767</v>
      </c>
      <c r="B3" s="198"/>
      <c r="C3" s="199"/>
      <c r="D3" s="200"/>
      <c r="E3" s="199"/>
      <c r="F3" s="200"/>
      <c r="G3" s="199"/>
      <c r="H3" s="200"/>
      <c r="I3" s="199"/>
      <c r="J3" s="200"/>
    </row>
    <row r="4" spans="1:10" ht="15">
      <c r="A4" s="198"/>
      <c r="B4" s="198"/>
      <c r="C4" s="199"/>
      <c r="D4" s="200"/>
      <c r="E4" s="199"/>
      <c r="F4" s="200"/>
      <c r="G4" s="199"/>
      <c r="H4" s="200"/>
      <c r="I4" s="199"/>
      <c r="J4" s="200"/>
    </row>
    <row r="5" spans="1:10" ht="15">
      <c r="A5" s="198"/>
      <c r="B5" s="198"/>
      <c r="C5" s="199"/>
      <c r="D5" s="200"/>
      <c r="E5" s="199"/>
      <c r="F5" s="200"/>
      <c r="G5" s="199"/>
      <c r="H5" s="200"/>
      <c r="I5" s="199"/>
      <c r="J5" s="200"/>
    </row>
    <row r="6" spans="1:10" ht="15">
      <c r="A6" s="198" t="s">
        <v>768</v>
      </c>
      <c r="B6" s="198"/>
      <c r="C6" s="199"/>
      <c r="D6" s="200"/>
      <c r="E6" s="199"/>
      <c r="F6" s="200"/>
      <c r="G6" s="199"/>
      <c r="H6" s="200"/>
      <c r="I6" s="199"/>
      <c r="J6" s="200"/>
    </row>
    <row r="7" spans="1:10" ht="15">
      <c r="A7" s="198"/>
      <c r="B7" s="198"/>
      <c r="C7" s="199"/>
      <c r="D7" s="200"/>
      <c r="E7" s="199"/>
      <c r="F7" s="200"/>
      <c r="G7" s="199"/>
      <c r="H7" s="200"/>
      <c r="I7" s="199"/>
      <c r="J7" s="200"/>
    </row>
    <row r="8" spans="1:10" ht="15">
      <c r="A8" s="201" t="s">
        <v>769</v>
      </c>
      <c r="B8" s="202" t="s">
        <v>770</v>
      </c>
      <c r="C8" s="223" t="s">
        <v>771</v>
      </c>
      <c r="D8" s="223"/>
      <c r="E8" s="223" t="s">
        <v>772</v>
      </c>
      <c r="F8" s="223"/>
      <c r="G8" s="223" t="s">
        <v>773</v>
      </c>
      <c r="H8" s="223"/>
      <c r="I8" s="223" t="s">
        <v>774</v>
      </c>
      <c r="J8" s="223"/>
    </row>
    <row r="9" spans="1:10" ht="15">
      <c r="A9" s="203" t="str">
        <f>Orçamento!C12</f>
        <v>SERVIÇOS INICIAIS</v>
      </c>
      <c r="B9" s="204">
        <f>Orçamento!H14</f>
        <v>6300.4770675</v>
      </c>
      <c r="C9" s="205">
        <v>1</v>
      </c>
      <c r="D9" s="206">
        <f aca="true" t="shared" si="0" ref="D9:D24">$B9*C9</f>
        <v>6300.4770675</v>
      </c>
      <c r="E9" s="205"/>
      <c r="F9" s="206">
        <f aca="true" t="shared" si="1" ref="F9:F24">$B9*E9</f>
        <v>0</v>
      </c>
      <c r="G9" s="205"/>
      <c r="H9" s="206">
        <f aca="true" t="shared" si="2" ref="H9:H24">$B9*G9</f>
        <v>0</v>
      </c>
      <c r="I9" s="205"/>
      <c r="J9" s="206">
        <f aca="true" t="shared" si="3" ref="J9:J24">$B9*I9</f>
        <v>0</v>
      </c>
    </row>
    <row r="10" spans="1:10" ht="15">
      <c r="A10" s="203" t="str">
        <f>Orçamento!C15</f>
        <v>DEMOLIÇÕES</v>
      </c>
      <c r="B10" s="204">
        <f>Orçamento!H29</f>
        <v>5292.6455823119995</v>
      </c>
      <c r="C10" s="205">
        <v>1</v>
      </c>
      <c r="D10" s="206">
        <f t="shared" si="0"/>
        <v>5292.6455823119995</v>
      </c>
      <c r="E10" s="205"/>
      <c r="F10" s="206">
        <f t="shared" si="1"/>
        <v>0</v>
      </c>
      <c r="G10" s="205"/>
      <c r="H10" s="206">
        <f t="shared" si="2"/>
        <v>0</v>
      </c>
      <c r="I10" s="205"/>
      <c r="J10" s="206">
        <f t="shared" si="3"/>
        <v>0</v>
      </c>
    </row>
    <row r="11" spans="1:10" ht="15">
      <c r="A11" s="203" t="str">
        <f>Orçamento!C30</f>
        <v>ESTRUTURA DE CONCRETO E REFORÇOS</v>
      </c>
      <c r="B11" s="204">
        <f>Orçamento!H33</f>
        <v>65988.7538940432</v>
      </c>
      <c r="C11" s="205">
        <v>0.7</v>
      </c>
      <c r="D11" s="206">
        <f>$B11*C11</f>
        <v>46192.127725830236</v>
      </c>
      <c r="E11" s="205">
        <v>0.3</v>
      </c>
      <c r="F11" s="206">
        <f>$B11*E11</f>
        <v>19796.62616821296</v>
      </c>
      <c r="G11" s="205"/>
      <c r="H11" s="206"/>
      <c r="I11" s="205"/>
      <c r="J11" s="206"/>
    </row>
    <row r="12" spans="1:10" ht="15">
      <c r="A12" s="203" t="str">
        <f>Orçamento!C34</f>
        <v>PAREDES E VEDAÇÕES</v>
      </c>
      <c r="B12" s="204">
        <f>Orçamento!H39</f>
        <v>62159.35180256998</v>
      </c>
      <c r="C12" s="205">
        <v>1</v>
      </c>
      <c r="D12" s="206">
        <f t="shared" si="0"/>
        <v>62159.35180256998</v>
      </c>
      <c r="E12" s="205"/>
      <c r="F12" s="206">
        <f t="shared" si="1"/>
        <v>0</v>
      </c>
      <c r="G12" s="205"/>
      <c r="H12" s="206">
        <f t="shared" si="2"/>
        <v>0</v>
      </c>
      <c r="I12" s="205"/>
      <c r="J12" s="206">
        <f t="shared" si="3"/>
        <v>0</v>
      </c>
    </row>
    <row r="13" spans="1:10" ht="15">
      <c r="A13" s="203" t="str">
        <f>Orçamento!C40</f>
        <v>FORROS</v>
      </c>
      <c r="B13" s="204">
        <f>Orçamento!H43</f>
        <v>27535.355021789997</v>
      </c>
      <c r="C13" s="205"/>
      <c r="D13" s="206">
        <f t="shared" si="0"/>
        <v>0</v>
      </c>
      <c r="E13" s="205"/>
      <c r="F13" s="206">
        <f t="shared" si="1"/>
        <v>0</v>
      </c>
      <c r="G13" s="205">
        <v>0.7</v>
      </c>
      <c r="H13" s="206">
        <f t="shared" si="2"/>
        <v>19274.748515252995</v>
      </c>
      <c r="I13" s="205">
        <v>0.3</v>
      </c>
      <c r="J13" s="206">
        <f t="shared" si="3"/>
        <v>8260.606506536998</v>
      </c>
    </row>
    <row r="14" spans="1:10" ht="15">
      <c r="A14" s="203" t="str">
        <f>Orçamento!C44</f>
        <v>PAVIMENTAÇÃO INTERNA e EXTERNA</v>
      </c>
      <c r="B14" s="204">
        <f>Orçamento!H50</f>
        <v>73233.31386492</v>
      </c>
      <c r="C14" s="205"/>
      <c r="D14" s="206">
        <f t="shared" si="0"/>
        <v>0</v>
      </c>
      <c r="E14" s="205">
        <v>0.5</v>
      </c>
      <c r="F14" s="206">
        <f t="shared" si="1"/>
        <v>36616.65693246</v>
      </c>
      <c r="G14" s="205">
        <v>0.5</v>
      </c>
      <c r="H14" s="206">
        <f t="shared" si="2"/>
        <v>36616.65693246</v>
      </c>
      <c r="I14" s="205"/>
      <c r="J14" s="206">
        <f t="shared" si="3"/>
        <v>0</v>
      </c>
    </row>
    <row r="15" spans="1:10" ht="15">
      <c r="A15" s="203" t="str">
        <f>Orçamento!C51</f>
        <v>IMPERMEABILIZAÇÕES</v>
      </c>
      <c r="B15" s="204">
        <f>Orçamento!H59</f>
        <v>29755.025509275</v>
      </c>
      <c r="C15" s="205"/>
      <c r="D15" s="206">
        <f t="shared" si="0"/>
        <v>0</v>
      </c>
      <c r="E15" s="205">
        <v>1</v>
      </c>
      <c r="F15" s="206">
        <f t="shared" si="1"/>
        <v>29755.025509275</v>
      </c>
      <c r="G15" s="205"/>
      <c r="H15" s="206">
        <f t="shared" si="2"/>
        <v>0</v>
      </c>
      <c r="I15" s="205"/>
      <c r="J15" s="206">
        <f t="shared" si="3"/>
        <v>0</v>
      </c>
    </row>
    <row r="16" spans="1:10" ht="15">
      <c r="A16" s="203" t="str">
        <f>Orçamento!C60</f>
        <v>REVESTIMENTOS</v>
      </c>
      <c r="B16" s="204">
        <f>Orçamento!H64</f>
        <v>11082.492451799999</v>
      </c>
      <c r="C16" s="205"/>
      <c r="D16" s="206">
        <f t="shared" si="0"/>
        <v>0</v>
      </c>
      <c r="E16" s="205">
        <v>0.5</v>
      </c>
      <c r="F16" s="206">
        <f t="shared" si="1"/>
        <v>5541.246225899999</v>
      </c>
      <c r="G16" s="205">
        <v>0.5</v>
      </c>
      <c r="H16" s="206">
        <f t="shared" si="2"/>
        <v>5541.246225899999</v>
      </c>
      <c r="I16" s="205"/>
      <c r="J16" s="206">
        <f t="shared" si="3"/>
        <v>0</v>
      </c>
    </row>
    <row r="17" spans="1:10" ht="15">
      <c r="A17" s="203" t="str">
        <f>Orçamento!C65</f>
        <v>ESQUADRIAS</v>
      </c>
      <c r="B17" s="204">
        <f>Orçamento!H70</f>
        <v>32339.390292</v>
      </c>
      <c r="C17" s="205"/>
      <c r="D17" s="206">
        <f t="shared" si="0"/>
        <v>0</v>
      </c>
      <c r="E17" s="205"/>
      <c r="F17" s="206">
        <f t="shared" si="1"/>
        <v>0</v>
      </c>
      <c r="G17" s="205">
        <v>0.8</v>
      </c>
      <c r="H17" s="206">
        <f t="shared" si="2"/>
        <v>25871.512233600002</v>
      </c>
      <c r="I17" s="205">
        <v>0.2</v>
      </c>
      <c r="J17" s="206">
        <f t="shared" si="3"/>
        <v>6467.878058400001</v>
      </c>
    </row>
    <row r="18" spans="1:10" ht="15">
      <c r="A18" s="203" t="str">
        <f>Orçamento!C71</f>
        <v>INSTALAÇÕES HIDROSSANITÁRIAS</v>
      </c>
      <c r="B18" s="204">
        <f>Orçamento!H97</f>
        <v>67292.34977024999</v>
      </c>
      <c r="C18" s="205">
        <v>0.2</v>
      </c>
      <c r="D18" s="206">
        <f t="shared" si="0"/>
        <v>13458.469954049999</v>
      </c>
      <c r="E18" s="205">
        <v>0.3</v>
      </c>
      <c r="F18" s="206">
        <f t="shared" si="1"/>
        <v>20187.704931074997</v>
      </c>
      <c r="G18" s="205">
        <v>0.4</v>
      </c>
      <c r="H18" s="206">
        <f t="shared" si="2"/>
        <v>26916.939908099997</v>
      </c>
      <c r="I18" s="205">
        <v>0.1</v>
      </c>
      <c r="J18" s="206">
        <f t="shared" si="3"/>
        <v>6729.234977024999</v>
      </c>
    </row>
    <row r="19" spans="1:10" ht="15">
      <c r="A19" s="203" t="str">
        <f>Orçamento!C98</f>
        <v>INSTALAÇÕES ELÉTRICAS / LÓGICA</v>
      </c>
      <c r="B19" s="204">
        <f>Orçamento!H190</f>
        <v>156752.3088846</v>
      </c>
      <c r="C19" s="205"/>
      <c r="D19" s="206">
        <f t="shared" si="0"/>
        <v>0</v>
      </c>
      <c r="E19" s="205">
        <v>0.5</v>
      </c>
      <c r="F19" s="206">
        <f t="shared" si="1"/>
        <v>78376.1544423</v>
      </c>
      <c r="G19" s="205">
        <v>0.4</v>
      </c>
      <c r="H19" s="206">
        <f t="shared" si="2"/>
        <v>62700.92355384</v>
      </c>
      <c r="I19" s="205">
        <v>0.1</v>
      </c>
      <c r="J19" s="206">
        <f t="shared" si="3"/>
        <v>15675.23088846</v>
      </c>
    </row>
    <row r="20" spans="1:10" ht="15">
      <c r="A20" s="203" t="str">
        <f>Orçamento!C191</f>
        <v>PINTURA</v>
      </c>
      <c r="B20" s="204">
        <f>Orçamento!H199</f>
        <v>40786.82665655398</v>
      </c>
      <c r="C20" s="205"/>
      <c r="D20" s="206">
        <f t="shared" si="0"/>
        <v>0</v>
      </c>
      <c r="E20" s="205"/>
      <c r="F20" s="206">
        <f t="shared" si="1"/>
        <v>0</v>
      </c>
      <c r="G20" s="205">
        <v>0.6</v>
      </c>
      <c r="H20" s="206">
        <f t="shared" si="2"/>
        <v>24472.095993932388</v>
      </c>
      <c r="I20" s="205">
        <v>0.4</v>
      </c>
      <c r="J20" s="206">
        <f t="shared" si="3"/>
        <v>16314.730662621594</v>
      </c>
    </row>
    <row r="21" spans="1:10" ht="15">
      <c r="A21" s="203" t="str">
        <f>Orçamento!C200</f>
        <v>COMPLEMENTARES</v>
      </c>
      <c r="B21" s="204">
        <f>Orçamento!H207</f>
        <v>3791.4320030400004</v>
      </c>
      <c r="C21" s="205"/>
      <c r="D21" s="206">
        <f t="shared" si="0"/>
        <v>0</v>
      </c>
      <c r="E21" s="205"/>
      <c r="F21" s="206">
        <f t="shared" si="1"/>
        <v>0</v>
      </c>
      <c r="G21" s="205">
        <v>0.3</v>
      </c>
      <c r="H21" s="206">
        <f t="shared" si="2"/>
        <v>1137.429600912</v>
      </c>
      <c r="I21" s="205">
        <v>0.7</v>
      </c>
      <c r="J21" s="206">
        <f t="shared" si="3"/>
        <v>2654.002402128</v>
      </c>
    </row>
    <row r="22" spans="1:10" ht="15">
      <c r="A22" s="203" t="str">
        <f>Orçamento!C208</f>
        <v>REDE DE GASES MEDICINAIS</v>
      </c>
      <c r="B22" s="204">
        <f>Orçamento!H216</f>
        <v>3203.5798079999995</v>
      </c>
      <c r="C22" s="205"/>
      <c r="D22" s="206">
        <f t="shared" si="0"/>
        <v>0</v>
      </c>
      <c r="E22" s="205"/>
      <c r="F22" s="206">
        <f t="shared" si="1"/>
        <v>0</v>
      </c>
      <c r="G22" s="205">
        <v>1</v>
      </c>
      <c r="H22" s="206">
        <f t="shared" si="2"/>
        <v>3203.5798079999995</v>
      </c>
      <c r="I22" s="205"/>
      <c r="J22" s="206">
        <f t="shared" si="3"/>
        <v>0</v>
      </c>
    </row>
    <row r="23" spans="1:10" ht="15">
      <c r="A23" s="203" t="str">
        <f>Orçamento!C217</f>
        <v>SISTEMA DE CLIMATIZAÇÃO</v>
      </c>
      <c r="B23" s="204">
        <f>Orçamento!H219</f>
        <v>0</v>
      </c>
      <c r="C23" s="205"/>
      <c r="D23" s="206">
        <f t="shared" si="0"/>
        <v>0</v>
      </c>
      <c r="E23" s="205"/>
      <c r="F23" s="206">
        <f t="shared" si="1"/>
        <v>0</v>
      </c>
      <c r="G23" s="205">
        <v>0.5</v>
      </c>
      <c r="H23" s="206">
        <f t="shared" si="2"/>
        <v>0</v>
      </c>
      <c r="I23" s="205">
        <v>0.5</v>
      </c>
      <c r="J23" s="206">
        <f t="shared" si="3"/>
        <v>0</v>
      </c>
    </row>
    <row r="24" spans="1:10" ht="15">
      <c r="A24" s="203" t="str">
        <f>Orçamento!C220</f>
        <v>ADMINISTRAÇÃO LOCAL</v>
      </c>
      <c r="B24" s="204">
        <f>Orçamento!H223</f>
        <v>88685.09337599999</v>
      </c>
      <c r="C24" s="207">
        <v>0.095</v>
      </c>
      <c r="D24" s="206">
        <f t="shared" si="0"/>
        <v>8425.083870719998</v>
      </c>
      <c r="E24" s="207">
        <v>0.314</v>
      </c>
      <c r="F24" s="206">
        <f t="shared" si="1"/>
        <v>27847.119320063997</v>
      </c>
      <c r="G24" s="207">
        <v>0.494</v>
      </c>
      <c r="H24" s="206">
        <f t="shared" si="2"/>
        <v>43810.436127744</v>
      </c>
      <c r="I24" s="207">
        <v>0.097</v>
      </c>
      <c r="J24" s="206">
        <f t="shared" si="3"/>
        <v>8602.454057472</v>
      </c>
    </row>
    <row r="25" spans="1:10" ht="15">
      <c r="A25" s="201" t="s">
        <v>770</v>
      </c>
      <c r="B25" s="208">
        <f>SUM(B9:B24)</f>
        <v>674198.3959846541</v>
      </c>
      <c r="C25" s="209"/>
      <c r="D25" s="210">
        <f>SUM(D9:D24)</f>
        <v>141828.15600298223</v>
      </c>
      <c r="E25" s="209"/>
      <c r="F25" s="210">
        <f>SUM(F9:F24)</f>
        <v>218120.53352928694</v>
      </c>
      <c r="G25" s="209"/>
      <c r="H25" s="210">
        <f>SUM(H9:H24)</f>
        <v>249545.56889974143</v>
      </c>
      <c r="I25" s="209"/>
      <c r="J25" s="210">
        <f>SUM(J9:J24)</f>
        <v>64704.137552643595</v>
      </c>
    </row>
    <row r="26" spans="1:10" ht="15">
      <c r="A26" s="201" t="s">
        <v>775</v>
      </c>
      <c r="B26" s="211"/>
      <c r="C26" s="209"/>
      <c r="D26" s="210">
        <f>D25</f>
        <v>141828.15600298223</v>
      </c>
      <c r="E26" s="209"/>
      <c r="F26" s="210">
        <f>F25+D26</f>
        <v>359948.68953226914</v>
      </c>
      <c r="G26" s="209"/>
      <c r="H26" s="210">
        <f>H25+F26</f>
        <v>609494.2584320105</v>
      </c>
      <c r="I26" s="209"/>
      <c r="J26" s="210">
        <f>J25+H26</f>
        <v>674198.3959846541</v>
      </c>
    </row>
  </sheetData>
  <mergeCells count="4">
    <mergeCell ref="C8:D8"/>
    <mergeCell ref="E8:F8"/>
    <mergeCell ref="G8:H8"/>
    <mergeCell ref="I8:J8"/>
  </mergeCells>
  <printOptions/>
  <pageMargins left="0.905555555555556" right="0.905555555555556" top="0.7875" bottom="0.7875" header="0.511805555555555" footer="0.511805555555555"/>
  <pageSetup horizontalDpi="300" verticalDpi="300" orientation="landscape"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paula massochin</dc:creator>
  <cp:keywords/>
  <dc:description/>
  <cp:lastModifiedBy>pedro.muller</cp:lastModifiedBy>
  <cp:lastPrinted>2022-06-17T13:43:15Z</cp:lastPrinted>
  <dcterms:created xsi:type="dcterms:W3CDTF">2022-02-11T12:40:40Z</dcterms:created>
  <dcterms:modified xsi:type="dcterms:W3CDTF">2023-02-01T18:01:43Z</dcterms:modified>
  <cp:category/>
  <cp:version/>
  <cp:contentType/>
  <cp:contentStatus/>
  <cp:revision>89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