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6380" windowHeight="8190" tabRatio="500" activeTab="0"/>
  </bookViews>
  <sheets>
    <sheet name="Orçamento" sheetId="1" r:id="rId1"/>
    <sheet name="Encargos Sociais" sheetId="2" r:id="rId2"/>
    <sheet name="Composições" sheetId="3" r:id="rId3"/>
    <sheet name="Composições Elétricas" sheetId="4" r:id="rId4"/>
    <sheet name="Cálculo BDI" sheetId="5" r:id="rId5"/>
    <sheet name="Cronograma" sheetId="6" r:id="rId6"/>
  </sheets>
  <definedNames>
    <definedName name="_xlnm.Print_Area" localSheetId="4">'Cálculo BDI'!$A$1:$O$42</definedName>
    <definedName name="_xlnm.Print_Area" localSheetId="2">'Composições'!$A$1:$I$111</definedName>
    <definedName name="_xlnm.Print_Area" localSheetId="5">'Cronograma'!$A$1:$H$25</definedName>
    <definedName name="_xlnm.Print_Area" localSheetId="0">'Orçamento'!$A$1:$H$236</definedName>
  </definedNames>
  <calcPr calcId="125725"/>
  <extLst/>
</workbook>
</file>

<file path=xl/sharedStrings.xml><?xml version="1.0" encoding="utf-8"?>
<sst xmlns="http://schemas.openxmlformats.org/spreadsheetml/2006/main" count="2634" uniqueCount="754">
  <si>
    <t>FUNDAÇÃO HOSPITALAR GETÚLIO VARGAS</t>
  </si>
  <si>
    <t>PLANILHA ORÇAMENTÁRIA</t>
  </si>
  <si>
    <t>Obra.: REFORMA DA UNIDADE DE INTERNAÇÃO GERAL ADULTO DO HOSPITAL GETÚLIO VARGAS</t>
  </si>
  <si>
    <t>Endereço: Rua Pinheiro Machado, 331 - Bairro Dihel - Sapucaia do Sul/RS</t>
  </si>
  <si>
    <t>Área de Intervenção:  546,19m²</t>
  </si>
  <si>
    <t xml:space="preserve">Data proposta 20/04/22                   BDI: 27,71% incluso nos valores                         </t>
  </si>
  <si>
    <t>Item</t>
  </si>
  <si>
    <t>Código</t>
  </si>
  <si>
    <t>Descrição</t>
  </si>
  <si>
    <t>Quantidade Contrato</t>
  </si>
  <si>
    <t>Un</t>
  </si>
  <si>
    <t>Vlr. Unitário</t>
  </si>
  <si>
    <t>Unit. Contrato c/ BDI</t>
  </si>
  <si>
    <t>Total contrato (c/BDI)</t>
  </si>
  <si>
    <t>SERVIÇOS INICIAIS</t>
  </si>
  <si>
    <t>1.1</t>
  </si>
  <si>
    <t>TAPUME COM TELHA METÁLICA. AF_05/2018</t>
  </si>
  <si>
    <t>M2</t>
  </si>
  <si>
    <t xml:space="preserve">                                                     Total do Grupo</t>
  </si>
  <si>
    <t>DEMOLIÇÕES</t>
  </si>
  <si>
    <t>2.1</t>
  </si>
  <si>
    <t>DEMOLIÇÃO DE ALVENARIA DE TIJOLO MACIÇO, DE FORMA MANUAL, SEM REAPROVEITAMENTO. AF_12/2017</t>
  </si>
  <si>
    <t>M3</t>
  </si>
  <si>
    <t>2.2</t>
  </si>
  <si>
    <t>97634</t>
  </si>
  <si>
    <t>DEMOLIÇÃO DE REVESTIMENTO CERÂMICO, DE FORMA MECANIZADA COM MARTELETE, SEM REAPROVEITAMENTO. AF_12/2017</t>
  </si>
  <si>
    <t>2.3</t>
  </si>
  <si>
    <t>DEMOLIÇÃO DE REVESTIMENTO CERÂMICO, DE FORMA MANUAL, SEM REAPROVEITAMENTO. AF_12/2017</t>
  </si>
  <si>
    <t>2.4</t>
  </si>
  <si>
    <t>DEMOLIÇÃO DE RODAPÉ CERÂMICO, DE FORMA MANUAL, SEM REAPROVEITAMENTO. AF_12/2017</t>
  </si>
  <si>
    <t>M</t>
  </si>
  <si>
    <t>2.5</t>
  </si>
  <si>
    <t>DEMOLIÇÃO DE LAJES, DE FORMA MECANIZADA COM MARTELETE, SEM REAPROVEITAMENTO. AF_12/2017</t>
  </si>
  <si>
    <t>2.7</t>
  </si>
  <si>
    <t>REMOÇÃO DE PORTAS, DE FORMA MANUAL, SEM REAPROVEITAMENTO. AF_12/2017</t>
  </si>
  <si>
    <t>2.8</t>
  </si>
  <si>
    <t>REMOÇÃO DE JANELAS, DE FORMA MANUAL, SEM REAPROVEITAMENTO. AF_12/2017</t>
  </si>
  <si>
    <t>2.9</t>
  </si>
  <si>
    <t>REMOÇÃO DE INTERRUPTORES/TOMADAS ELÉTRICAS, DE FORMA MANUAL, SEM REAPROVEITAMENTO. AF_12/2017</t>
  </si>
  <si>
    <t>UN</t>
  </si>
  <si>
    <t>2.10</t>
  </si>
  <si>
    <t>REMOÇÃO DE CABOS ELÉTRICOS, DE FORMA MANUAL, SEM REAPROVEITAMENTO. AF_12/2017</t>
  </si>
  <si>
    <t>2.11</t>
  </si>
  <si>
    <t>REMOÇÃO DE TUBULAÇÕES (TUBOS E CONEXÕES) DE ÁGUA FRIA, DE FORMA MANUAL, SEM REAPROVEITAMENTO. AF_12/2017</t>
  </si>
  <si>
    <t>2.12</t>
  </si>
  <si>
    <t>REMOÇÃO DE LOUÇAS, DE FORMA MANUAL, SEM REAPROVEITAMENTO. AF_12/2017</t>
  </si>
  <si>
    <t>2.13</t>
  </si>
  <si>
    <t>TRANSPORTE HORIZONTAL COM CARRINHO PLATAFORMA, DE SACOS DE 50 KG (UNIDADE: KGXKM). AF_07/2019</t>
  </si>
  <si>
    <t>KGXKM</t>
  </si>
  <si>
    <t>2.14</t>
  </si>
  <si>
    <t>mercado</t>
  </si>
  <si>
    <t>RETIRADA DO ENTULHO COM CAÇAMBA</t>
  </si>
  <si>
    <t>PAREDES</t>
  </si>
  <si>
    <t>3.1</t>
  </si>
  <si>
    <t>COMPOSIÇÃO 3</t>
  </si>
  <si>
    <t>PAREDE COM PLACAS DE GESSO ACARTONADO (DRYWALL), PARA USO INTERNO, COM DUAS FACES RESISTENTE A UMIDADE (RU) E ESTRUTURA METÁLICA COM GUIAS SIMPLES,  SEM VÃOS</t>
  </si>
  <si>
    <t>3.3</t>
  </si>
  <si>
    <t>96374</t>
  </si>
  <si>
    <t>INSTALAÇÃO DE REFORÇO DE MADEIRA EM PAREDE DRYWALL. AF_06/2017</t>
  </si>
  <si>
    <t>3.4</t>
  </si>
  <si>
    <t>VERGA PRÉ-MOLDADA PARA JANELAS COM MAIS DE 1,5 M DE VÃO. AF_03/2016</t>
  </si>
  <si>
    <t>3.5</t>
  </si>
  <si>
    <t>103331</t>
  </si>
  <si>
    <t>ALVENARIA DE VEDAÇÃO DE BLOCOS CERÂMICOS FURADOS NA HORIZONTAL DE 11,5X19X19 CM (ESPESSURA 11,5 CM) E ARGAMASSA DE ASSENTAMENTO COM PREPARO MANUAL. AF_12/2021</t>
  </si>
  <si>
    <t>FORROS</t>
  </si>
  <si>
    <t>4.1</t>
  </si>
  <si>
    <t>COMPOSIÇÃO 2</t>
  </si>
  <si>
    <t>FORRO EM DRYWALL, PARA AMBIENTES RESIDENCIAIS, COM PLACA RU (RESISTENTE À UMIDADE) INCLUSIVE ESTRUTURA DE FIXAÇÃO. AF_05/2017_P</t>
  </si>
  <si>
    <t>4.2</t>
  </si>
  <si>
    <t>FORRO EM DRYWALL, PARA AMBIENTES COMERCIAIS, INCLUSIVE ESTRUTURA DE FIXAÇÃO. AF_05/2017_P</t>
  </si>
  <si>
    <t>PAVIMENTAÇÃO INTERNA</t>
  </si>
  <si>
    <t>5.1</t>
  </si>
  <si>
    <t>INTERNA</t>
  </si>
  <si>
    <t>5.2</t>
  </si>
  <si>
    <t>PISO CIMENTADO, TRAÇO 1:3 (CIMENTO E AREIA), ACABAMENTO LISO, ESPESSURA 3,0 CM, PREPARO MECÂNICO DA ARGAMASSA. AF_09/2020</t>
  </si>
  <si>
    <t>5.3</t>
  </si>
  <si>
    <t>101727</t>
  </si>
  <si>
    <t>PISO VINÍLICO SEMI-FLEXÍVEL EM PLACAS, PADRÃO LISO, ESPESSURA 3,2 MM, FIXADO COM COLA. AF_09/2020</t>
  </si>
  <si>
    <t>5.4</t>
  </si>
  <si>
    <t>REVESTIMENTO CERÂMICO PARA PISO COM PLACAS TIPO ESMALTADA EXTRA DE DIMENSÕES 45X45 CM APLICADA EM AMBIENTES DE ÁREA MENOR QUE 5 M2. AF_06/2014</t>
  </si>
  <si>
    <t>5.5</t>
  </si>
  <si>
    <t>EXTERNA</t>
  </si>
  <si>
    <t>5.6</t>
  </si>
  <si>
    <t>ATERRO MANUAL DE VALAS COM SOLO ARGILO-ARENOSO E COMPACTAÇÃO MECANIZADA. AF_05/2016</t>
  </si>
  <si>
    <t>5.7</t>
  </si>
  <si>
    <t>EXECUÇÃO DE PASSEIO (CALÇADA) OU PISO DE CONCRETO COM CONCRETO MOLDADO IN LOCO, FEITO EM OBRA, ACABAMENTO CONVENCIONAL, ESPESSURA 8 CM, ARMADO. AF_07/2016</t>
  </si>
  <si>
    <t>IMPERMEABILIZAÇÃO</t>
  </si>
  <si>
    <t>6.1</t>
  </si>
  <si>
    <t>COMPOSIÇÃO 6</t>
  </si>
  <si>
    <t xml:space="preserve">PERFIL RODAPE DE IMPERMEABILIZACAO, FORMATO L, EM ACO ZINCADO, PARA ESTRUTURA DRYWALL, E = 0,5 MM, 220 X 3000 MM (H X C)                                                                                                                                                                                                                                                                                                                                                                                  </t>
  </si>
  <si>
    <t>6.2</t>
  </si>
  <si>
    <t>IMPERMEABILIZAÇÃO DE SUPERFÍCIE COM MANTA ASFÁLTICA, UMA CAMADA, INCLUSIVE APLICAÇÃO DE PRIMER ASFÁLTICO, E=3MM. AF_06/2018</t>
  </si>
  <si>
    <t>6.3</t>
  </si>
  <si>
    <t>PROTEÇÃO MECÂNICA DE SUPERFICIE HORIZONTAL COM ARGAMASSA DE CIMENTO E AREIA, TRAÇO 1:3, E=3CM. AF_06/2018</t>
  </si>
  <si>
    <t>6.4</t>
  </si>
  <si>
    <t>IMPERMEABILIZAÇÃO DE SUPERFÍCIE COM ARGAMASSA POLIMÉRICA / MEMBRANA ACRÍLICA, 3 DEMÃOS. AF_06/2018</t>
  </si>
  <si>
    <t>6.5</t>
  </si>
  <si>
    <t>TRATAMENTO DE RALO OU PONTO EMERGENTE COM ARGAMASSA POLIMÉRICA / MEMBRANA ACRÍLICA REFORÇADO COM VÉU DE POLIÉSTER (MAV). AF_06/2018</t>
  </si>
  <si>
    <t>REVESTIMENTOS</t>
  </si>
  <si>
    <t>7.1</t>
  </si>
  <si>
    <t>87893</t>
  </si>
  <si>
    <t>CHAPISCO APLICADO EM ALVENARIA (SEM PRESENÇA DE VÃOS) E ESTRUTURAS DE CONCRETO DE FACHADA, COM COLHER DE PEDREIRO.  ARGAMASSA TRAÇO 1:3 COM PREPARO MANUAL. AF_06/2014</t>
  </si>
  <si>
    <t>7.2</t>
  </si>
  <si>
    <t>87530</t>
  </si>
  <si>
    <t>MASSA ÚNICA, PARA RECEBIMENTO DE PINTURA, EM ARGAMASSA TRAÇO 1:2:8, PREPARO MANUAL, APLICADA MANUALMENTE EM FACES INTERNAS DE PAREDES, ESPESSURA DE 20MM, COM EXECUÇÃO DE TALISCAS. AF_06/2014</t>
  </si>
  <si>
    <t>7.3</t>
  </si>
  <si>
    <t>REVESTIMENTO CERÂMICO PARA PAREDES INTERNAS COM PLACAS TIPO ESMALTADA EXTRA  DE DIMENSÕES 33X45 CM APLICADAS EM AMBIENTES DE ÁREA MENOR QUE 5 M² NA ALTURA INTEIRA DAS PAREDES. AF_06/2014</t>
  </si>
  <si>
    <t>ESQUADRIAS</t>
  </si>
  <si>
    <t>8.1</t>
  </si>
  <si>
    <t>COMPOSIÇÃO 4</t>
  </si>
  <si>
    <t xml:space="preserve">JANELA MAXIM AR EM ALUMINIO, 80 X 60 CM (A X L), BATENTE/REQUADRO DE 4 A 14 CM, COM VIDRO, SEM GUARNICAO/ALIZAR. FORNECIMENTO E INSTALAÇÃO. </t>
  </si>
  <si>
    <t>8.2</t>
  </si>
  <si>
    <t>KIT DE PORTA-PRONTA DE MADEIRA EM ACABAMENTO MELAMÍNICO BRANCO, FOLHA PESADA OU SUPERPESADA, 80X210CM, FIXAÇÃO COM PREENCHIMENTO PARCIAL DE ESPUMA EXPANSIVA - FORNECIMENTO E INSTALAÇÃO. AF_12/2019</t>
  </si>
  <si>
    <t>8.3</t>
  </si>
  <si>
    <t>INSTALAÇÕES HIDROSSANITÁRIAS</t>
  </si>
  <si>
    <t>ESGOTO</t>
  </si>
  <si>
    <t>9.1</t>
  </si>
  <si>
    <t>(COMPOSIÇÃO REPRESENTATIVA) DO SERVIÇO DE INSTALAÇÃO DE TUBO DE PVC, SÉRIE NORMAL, ESGOTO PREDIAL, DN 40 MM (INSTALADO EM RAMAL DE DESCARGA OU RAMAL DE ESGOTO SANITÁRIO), INCLUSIVE CONEXÕES, CORTES E FIXAÇÕES, PARA PRÉDIOS. AF_10/2015</t>
  </si>
  <si>
    <t>9.2</t>
  </si>
  <si>
    <t>91793</t>
  </si>
  <si>
    <t>(COMPOSIÇÃO REPRESENTATIVA) DO SERVIÇO DE INSTALAÇÃO DE TUBO DE PVC, SÉRIE NORMAL, ESGOTO PREDIAL, DN 50 MM (INSTALADO EM RAMAL DE DESCARGA OU RAMAL DE ESGOTO SANITÁRIO), INCLUSIVE CONEXÕES, CORTES E FIXAÇÕES PARA, PRÉDIOS. AF_10/2015</t>
  </si>
  <si>
    <t>9.3</t>
  </si>
  <si>
    <t>(COMPOSIÇÃO REPRESENTATIVA) DO SERVIÇO DE INST. TUBO PVC, SÉRIE N, ESGOTO PREDIAL, DN 75 MM, (INST. EM RAMAL DE DESCARGA, RAMAL DE ESG. SANITÁRIO, PRUMADA DE ESG. SANITÁRIO OU VENTILAÇÃO), INCL. CONEXÕES, CORTES E FIXAÇÕES, P/ PRÉDIOS. AF_10/2015</t>
  </si>
  <si>
    <t>9.4</t>
  </si>
  <si>
    <t>(COMPOSIÇÃO REPRESENTATIVA) DO SERVIÇO DE INST. TUBO PVC, SÉRIE N, ESGOTO PREDIAL, 100 MM (INST. RAMAL DESCARGA, RAMAL DE ESG. SANIT., PRUMADA ESG. SANIT., VENTILAÇÃO OU SUB-COLETOR AÉREO), INCL. CONEXÕES E CORTES, FIXAÇÕES, P/ PRÉDIOS. AF_10/2015</t>
  </si>
  <si>
    <t>9.5</t>
  </si>
  <si>
    <t>CAIXA ENTERRADA HIDRÁULICA RETANGULAR EM ALVENARIA COM TIJOLOS CERÂMICOS MACIÇOS, DIMENSÕES INTERNAS: 0,6X0,6X0,6 M PARA REDE DE ESGOTO. AF_12/2020</t>
  </si>
  <si>
    <t>9.6</t>
  </si>
  <si>
    <t>CAIXA SIFONADA, PVC, DN 150 X 185 X 75 MM, JUNTA ELÁSTICA, FORNECIDA E INSTALADA EM RAMAL DE DESCARGA OU EM RAMAL DE ESGOTO SANITÁRIO. AF_12/2014</t>
  </si>
  <si>
    <t>ÁGUA FRIA</t>
  </si>
  <si>
    <t>9.7</t>
  </si>
  <si>
    <t>RASGO EM ALVENARIA PARA RAMAIS/ DISTRIBUIÇÃO COM DIAMETROS MENORES OU IGUAIS A 40 MM. AF_05/2015</t>
  </si>
  <si>
    <t>9.8</t>
  </si>
  <si>
    <t>CHUMBAMENTO LINEAR EM ALVENARIA PARA RAMAIS/DISTRIBUIÇÃO COM DIÂMETROS MENORES OU IGUAIS A 40 MM. AF_05/2015</t>
  </si>
  <si>
    <t>9.9</t>
  </si>
  <si>
    <t>91785</t>
  </si>
  <si>
    <t>(COMPOSIÇÃO REPRESENTATIVA) DO SERVIÇO DE INSTALAÇÃO DE TUBOS DE PVC, SOLDÁVEL, ÁGUA FRIA, DN 25 MM (INSTALADO EM RAMAL, SUB-RAMAL, RAMAL DE DISTRIBUIÇÃO OU PRUMADA), INCLUSIVE CONEXÕES, CORTES E FIXAÇÕES, PARA PRÉDIOS. AF_10/2015</t>
  </si>
  <si>
    <t>9.10</t>
  </si>
  <si>
    <t>SUPORTE PARA ATÉ 3 TUBOS HORIZONTAIS, ESPAÇADO A CADA 1 M, EM PERFILADO DE SEÇÃO 38X76 MM, POR METRO DE TUBULAÇÃO FIXADA. AF_05/2015</t>
  </si>
  <si>
    <t>9.11</t>
  </si>
  <si>
    <t>LOUÇAS, METAIS E ACESSÓRIOS</t>
  </si>
  <si>
    <t>9.12</t>
  </si>
  <si>
    <t>VASO SANITÁRIO SIFONADO COM CAIXA ACOPLADA LOUÇA BRANCA - FORNECIMENTO E INSTALAÇÃO. AF_01/2020</t>
  </si>
  <si>
    <t>9.13</t>
  </si>
  <si>
    <t>LAVATÓRIO LOUÇA BRANCA COM COLUNA, 45 X 55CM OU EQUIVALENTE, PADRÃO MÉDIO - FORNECIMENTO E INSTALAÇÃO. AF_01/2020</t>
  </si>
  <si>
    <t>9.14</t>
  </si>
  <si>
    <t>86906</t>
  </si>
  <si>
    <t>TORNEIRA CROMADA DE MESA, 1/2 OU 3/4, PARA LAVATÓRIO, PADRÃO POPULAR - FORNECIMENTO E INSTALAÇÃO. AF_01/2020</t>
  </si>
  <si>
    <t>9.15</t>
  </si>
  <si>
    <t>86885</t>
  </si>
  <si>
    <t>ENGATE FLEXÍVEL EM PLÁSTICO BRANCO, 1/2 X 40CM - FORNECIMENTO E INSTALAÇÃO. AF_01/2020</t>
  </si>
  <si>
    <t>9.16</t>
  </si>
  <si>
    <t>SIFÃO DO TIPO FLEXÍVEL EM PVC 1  X 1.1/2  - FORNECIMENTO E INSTALAÇÃO. AF_01/2020</t>
  </si>
  <si>
    <t>9.17</t>
  </si>
  <si>
    <t>VÁLVULA EM METAL CROMADO 1.1/2 X 1.1/2 PARA TANQUE OU LAVATÓRIO, COM OU SEM LADRÃO - FORNECIMENTO E INSTALAÇÃO. AF_01/2020</t>
  </si>
  <si>
    <t>9.18</t>
  </si>
  <si>
    <t>MANOPLA E CANOPLA CROMADA  FORNECIMENTO E INSTALAÇÃO. AF_01/2020</t>
  </si>
  <si>
    <t>9.19</t>
  </si>
  <si>
    <t>REGISTRO DE PRESSÃO BRUTO, LATÃO, ROSCÁVEL, 1/2", FORNECIDO E INSTALADO EM RAMAL DE ÁGUA. AF_12/2014</t>
  </si>
  <si>
    <t>9.20</t>
  </si>
  <si>
    <t>REGISTRO DE GAVETA BRUTO, LATÃO, ROSCÁVEL, 3/4", FORNECIDO E INSTALADO EM RAMAL DE ÁGUA. AF_12/2014</t>
  </si>
  <si>
    <t>INSTALAÇÕES ELÉTRICAS / TELEFONE</t>
  </si>
  <si>
    <t>10.1</t>
  </si>
  <si>
    <t>COMPOSIÇÃO IE.21</t>
  </si>
  <si>
    <t>QUADRO DE DISTRIBUIÇÃO DE ENERGIA EM CHAPA DE AÇO GALVANIZADO, DE EMBUTIR, COM BARRAMENTO TRIFÁSICO, PARA 60 DISJUNTORES DIN - FORNECIMENTO E INSTALAÇÃO.</t>
  </si>
  <si>
    <t>10.2</t>
  </si>
  <si>
    <t>QUADRO DE DISTRIBUIÇÃO DE ENERGIA EM CHAPA DE AÇO GALVANIZADO, DE EMBUTIR, COM BARRAMENTO TRIFÁSICO, PARA 40 DISJUNTORES DIN 100A - FORNECIMENTO E INSTALAÇÃO. AF_10/2020</t>
  </si>
  <si>
    <t>10.3</t>
  </si>
  <si>
    <t>QUADRO DE DISTRIBUIÇÃO DE ENERGIA EM CHAPA DE AÇO GALVANIZADO, DE EMBUTIR, COM BARRAMENTO TRIFÁSICO, PARA 18 DISJUNTORES DIN 100A – FORNECIMENTO E INSTALAÇÃO. AF_10/2020</t>
  </si>
  <si>
    <t>10.4</t>
  </si>
  <si>
    <t>CAIXA RETANGULAR 4" X 2", PVC- FORNECIMENTO E INSTALAÇÃO. AF_12/2015</t>
  </si>
  <si>
    <t>10.5</t>
  </si>
  <si>
    <t>CAIXA OCTOGONAL 4" X 4", PVC, INSTALADA EM LAJE - FORNECIMENTO E INSTALAÇÃO. AF_12/2015</t>
  </si>
  <si>
    <t>10.6</t>
  </si>
  <si>
    <t>CAIXA RETANGULAR 4" X 4" MÉDIA (1,30 M DO PISO), PVC, INSTALADA EM PAREDE - FORNECIMENTO E INSTALAÇÃO. AF_12/2015</t>
  </si>
  <si>
    <t>10.7</t>
  </si>
  <si>
    <t>CONDULETE DE PVC, TIPO LL, PARA ELETRODUTO DE PVC SOLDÁVEL DN 25 MM (3/4''), APARENTE - FORNECIMENTO E INSTALAÇÃO. AF_11/2016</t>
  </si>
  <si>
    <t>10.8</t>
  </si>
  <si>
    <t>CONDULETE DE PVC, TIPO X, PARA ELETRODUTO DE PVC SOLDÁVEL DN 25 MM (3/4''), APARENTE - FORNECIMENTO E INSTALAÇÃO. AF_11/2016</t>
  </si>
  <si>
    <t>10.9</t>
  </si>
  <si>
    <t>CONDULETE DE PVC, TIPO X, PARA ELETRODUTO DE PVC SOLDÁVEL DN 32 MM (1''), APARENTE - FORNECIMENTO E INSTALAÇÃO. AF_11/2016</t>
  </si>
  <si>
    <t>10.10</t>
  </si>
  <si>
    <t>CONDULETE DE PVC, TIPO LL, PARA ELETRODUTO DE PVC SOLDÁVEL DN 32 MM (1''), APARENTE - FORNECIMENTO E INSTALAÇÃO. AF_11/2016</t>
  </si>
  <si>
    <t>10.11</t>
  </si>
  <si>
    <t>COMPOSIÇÃO IE.24</t>
  </si>
  <si>
    <t xml:space="preserve">CONDULETE DE ALUMÍNIO, TIPO LL, PARA ELETRODUTO DE AÇO GALVANIZADO (4''), APARENTE - FORNECIMENTO E INSTALAÇÃO. </t>
  </si>
  <si>
    <t>10.12</t>
  </si>
  <si>
    <t>COMPOSIÇÃO IE.2</t>
  </si>
  <si>
    <t>ELETROCALHA LISA OU PERFURADA EM AÇO GALVANIZADO, LARGURA 200MM E ALTURA 50MM, INCLUSIVE EMENDA E FIXAÇÃO - FORNECIMENTO E INSTALAÇÃO</t>
  </si>
  <si>
    <t>10.13</t>
  </si>
  <si>
    <t>COMPOSIÇÃO IE.22</t>
  </si>
  <si>
    <t>ELETROCALHA LISA OU PERFURADA EM AÇO GALVANIZADO, LARGURA 50MM E ALTURA 50MM, INCLUSIVE EMENDA E FIXAÇÃO - FORNECIMENTO E INSTALAÇÃO</t>
  </si>
  <si>
    <t>10.14</t>
  </si>
  <si>
    <t>ELETRODUTO RÍGIDO ROSCÁVEL, PVC, DN 25 MM (3/4"), PARA CIRCUITOS TERMINAIS, INSTALADO EM PAREDE - FORNECIMENTO E INSTALAÇÃO. AF_12/2015</t>
  </si>
  <si>
    <t>10.15</t>
  </si>
  <si>
    <t>ELETRODUTO RÍGIDO ROSCÁVEL, PVC, DN 32 MM (1"), PARA CIRCUITOS TERMINAIS, INSTALADO EM PAREDE - FORNECIMENTO E INSTALAÇÃO. AF_12/2015</t>
  </si>
  <si>
    <t>10.16</t>
  </si>
  <si>
    <t>ELETRODUTO RÍGIDO ROSCÁVEL, PVC, DN 110 MM (4") - FORNECIMENTO E INSTALAÇÃO. AF_12/2021</t>
  </si>
  <si>
    <t>10.17</t>
  </si>
  <si>
    <t>LUVA PARA ELETRODUTO, PVC, ROSCÁVEL, DN 25 MM (3/4"), PARA CIRCUITOS TERMINAIS, INSTALADA EM PAREDE - FORNECIMENTO E INSTALAÇÃO. AF_12/2015</t>
  </si>
  <si>
    <t>10.18</t>
  </si>
  <si>
    <t>LUVA PARA ELETRODUTO, PVC, ROSCÁVEL, DN 32 MM (1"), PARA CIRCUITOS TERMINAIS, INSTALADA EM PAREDE - FORNECIMENTO E INSTALAÇÃO. AF_12/2015</t>
  </si>
  <si>
    <t>10.19</t>
  </si>
  <si>
    <t>LUVA PARA ELETRODUTO, PVC, ROSCÁVEL, DN 110 MM (4") - FORNECIMENTO E INSTALAÇÃO. AF_12/2021</t>
  </si>
  <si>
    <t>10.20</t>
  </si>
  <si>
    <t>CURVA 90 GRAUS PARA ELETRODUTO, PVC, ROSCÁVEL, DN 25 MM (3/4"), PARA CIRCUITOS TERMINAIS, INSTALADA EM PAREDE - FORNECIMENTO E INSTALAÇÃO. AF_12/2015</t>
  </si>
  <si>
    <t>10.21</t>
  </si>
  <si>
    <t>CURVA 90 GRAUS PARA ELETRODUTO, PVC, ROSCÁVEL, DN 32 MM (1"), PARA CIRCUITOS TERMINAIS, INSTALADA EM PAREDE - FORNECIMENTO E INSTALAÇÃO. AF_12/2015</t>
  </si>
  <si>
    <t>10.22</t>
  </si>
  <si>
    <t>CURVA 90 GRAUS PARA ELETRODUTO, PVC, ROSCÁVEL, DN 110 MM (4") - FORNECIMENTO E INSTALAÇÃO. AF_12/2021</t>
  </si>
  <si>
    <t>10.23</t>
  </si>
  <si>
    <t>COMPOSIÇÃO IE.3</t>
  </si>
  <si>
    <t>SAIDA GALVANIZADA ELETROCALHA PARA ELETRODUTO 1” - FORNECIMENTO E INSTALAÇÃO.</t>
  </si>
  <si>
    <t>10.24</t>
  </si>
  <si>
    <t>COMPOSIÇÃO IE.4</t>
  </si>
  <si>
    <t>SAIDA GALVANIZADA ELETROCALHA PARA ELETRODUTO 3/4” - FORNECIMENTO E INSTALAÇÃO.</t>
  </si>
  <si>
    <t>10.25</t>
  </si>
  <si>
    <t>COMPOSIÇÃO IE.7</t>
  </si>
  <si>
    <t>TE PARA ELETROCALHA, LISA OU PERFURADA EM AÇO GALVANIZADO, LARGURA DE 200MM E ALTURA DE 50MM - FORNECIMENTO E INSTALAÇÃO.</t>
  </si>
  <si>
    <t>10.26</t>
  </si>
  <si>
    <t>COMPOSIÇÃO IE.8</t>
  </si>
  <si>
    <t>CURVA HORIZONTAL 90º, PARA ELETROCALHA, LISA OU PERFURADA EM AÇO GALVANIZADO, LARGURA DE 200MM E ALTURA DE 50MM - FORNECIMENTO E INSTALAÇÃO.</t>
  </si>
  <si>
    <t>10.27</t>
  </si>
  <si>
    <t>COMPOSIÇÃO IE.9</t>
  </si>
  <si>
    <t>CURVA VERTICAL 90º, PARA ELETROCALHA, LISA OU PERFURADA EM AÇO GALVANIZADO, LARGURA DE 200MM E ALTURA DE 50MM - FORNECIMENTO E INSTALAÇÃO.</t>
  </si>
  <si>
    <t>10.28</t>
  </si>
  <si>
    <t>COMPOSIÇÃO IE.10</t>
  </si>
  <si>
    <t>CRUZETA PARA ELETROCALHA, LISA OU PERFURADA EM AÇO GALVANIZADO, LARGURA DE 200MM E ALTURA DE 50MM - FORNECIMENTO E INSTALAÇÃO.</t>
  </si>
  <si>
    <t>10.29</t>
  </si>
  <si>
    <t>COMPOSIÇÃO IE.23</t>
  </si>
  <si>
    <t>CURVA HORIZONTAL 90º, PARA ELETROCALHA, LISA OU PERFURADA EM AÇO GALVANIZADO, LARGURA DE 50MM E ALTURA DE 50MM - FORNECIMENTO E INSTALAÇÃO.</t>
  </si>
  <si>
    <t>10.30</t>
  </si>
  <si>
    <t>RASGO EM ALVENARIA PARA ELETRODUTOS COM DIAMETROS MENORES OU IGUAIS A 40 MM. AF_05/2015</t>
  </si>
  <si>
    <t>10.31</t>
  </si>
  <si>
    <t>10.32</t>
  </si>
  <si>
    <t>CABO DE COBRE FLEXÍVEL ISOLADO, 2,5 MM², ANTI-CHAMA 450/750 V, PARA CIRCUITOS TERMINAIS - FORNECIMENTO E INSTALAÇÃO. AF_12/2015</t>
  </si>
  <si>
    <t>10.33</t>
  </si>
  <si>
    <t>CABO DE COBRE FLEXÍVEL ISOLADO, 4 MM², ANTI-CHAMA 450/750 V, PARA CIRCUITOS TERMINAIS - FORNECIMENTO E INSTALAÇÃO. AF_12/2015</t>
  </si>
  <si>
    <t>10.34</t>
  </si>
  <si>
    <t>CABO DE COBRE FLEXÍVEL ISOLADO, 6 MM², ANTI-CHAMA 450/750 V, PARA CIRCUITOS TERMINAIS - FORNECIMENTO E INSTALAÇÃO. AF_12/2015</t>
  </si>
  <si>
    <t>10.35</t>
  </si>
  <si>
    <t>CABO DE COBRE FLEXÍVEL ISOLADO, 16 MM², ANTI-CHAMA 0,6/1,0 KV, PARA CIRCUITOS TERMINAIS - FORNECIMENTO E INSTALAÇÃO. AF_12/2015</t>
  </si>
  <si>
    <t>10.36</t>
  </si>
  <si>
    <t>CABO DE COBRE FLEXÍVEL ISOLADO, 25 MM², ANTI-CHAMA 0,6/1,0 KV - FORNECIMENTO E INSTALAÇÃO. AF_12/2021</t>
  </si>
  <si>
    <t>10.37</t>
  </si>
  <si>
    <t>DISJUNTOR MONOPOLAR TIPO DIN, CORRENTE NOMINAL DE 20A - FORNECIMENTO E INSTALAÇÃO. AF_10/2020</t>
  </si>
  <si>
    <t>10.38</t>
  </si>
  <si>
    <t>DISJUNTOR MONOPOLAR TIPO DIN, CORRENTE NOMINAL DE 32A - FORNECIMENTO E INSTALAÇÃO. AF_10/2020</t>
  </si>
  <si>
    <t>10.39</t>
  </si>
  <si>
    <t>DISJUNTOR TRIPOLAR, CORRENTE NOMINAL DE 60 ATÉ 100A – FORNECIMENTO E INSTALAÇÃO. AF_10/2020</t>
  </si>
  <si>
    <t>10.40</t>
  </si>
  <si>
    <t>COMPOSIÇÃO IE.12</t>
  </si>
  <si>
    <t>DISPOSITIVO DR, 2 POLOS, SENSIBILIDADE DE 30 MA, CORRENTE DE 40 A – FORNECIMENTO E INSTALAÇÃO.</t>
  </si>
  <si>
    <t>10.41</t>
  </si>
  <si>
    <t>INTERRUPTOR SIMPLES (1 MÓDULO), 10A/250V, INCLUINDO SUPORTE E PLACA – FORNECIMENTO E INSTALAÇÃO. AF_12/2015</t>
  </si>
  <si>
    <t>10.42</t>
  </si>
  <si>
    <t>INTERRUPTOR SIMPLES (2 MÓDULOS), 10A/250V, INCLUINDO SUPORTE E PLACA – FORNECIMENTO E INSTALAÇÃO. AF_12/2015</t>
  </si>
  <si>
    <t>10.43</t>
  </si>
  <si>
    <t>INTERRUPTOR SIMPLES (3 MÓDULOS), 10A/250V, INCLUINDO SUPORTE E PLACA – FORNECIMENTO E INSTALAÇÃO. AF_12/2015</t>
  </si>
  <si>
    <t>10.44</t>
  </si>
  <si>
    <t>TOMADA MÉDIA DE EMBUTIR (1 MÓDULO), 2P+T 10 A, INCLUINDO SUPORTE E PLACA - FORNECIMENTO E INSTALAÇÃO. AF_12/2015</t>
  </si>
  <si>
    <t>10.45</t>
  </si>
  <si>
    <t>TOMADA ALTA DE EMBUTIR (1 MÓDULO), 2P+T 20 A, INCLUINDO SUPORTE E PLACA - FORNECIMENTO E INSTALAÇÃO. AF_12/2015</t>
  </si>
  <si>
    <t>10.46</t>
  </si>
  <si>
    <t>TOMADA BAIXA DE EMBUTIR (1 MÓDULO), 2P+T 10 A, INCLUINDO SUPORTE E PLACA - FORNECIMENTO E INSTALAÇÃO. AF_12/2015</t>
  </si>
  <si>
    <t>10.47</t>
  </si>
  <si>
    <t>TOMADA MÉDIA DE EMBUTIR (2 MÓDULOS), 2P+T 10 A, INCLUINDO SUPORTE E PLACA - FORNECIMENTO E INSTALAÇÃO. AF_12/2015</t>
  </si>
  <si>
    <t>10.48</t>
  </si>
  <si>
    <t>TOMADA BAIXA DE EMBUTIR (2 MÓDULOS), 2P+T 10 A, INCLUINDO SUPORTE E PLACA - FORNECIMENTO E INSTALAÇÃO. AF_12/2015</t>
  </si>
  <si>
    <t>10.49</t>
  </si>
  <si>
    <t>TOMADA DE EMBUTIR (1 MÓDULO), 2P+T 20 A, INCLUINDO SUPORTE E PLACA - FORNECIMENTO E INSTALAÇÃO. AF_12/2015</t>
  </si>
  <si>
    <t>10.50</t>
  </si>
  <si>
    <t>COMPOSIÇÃO IE.13</t>
  </si>
  <si>
    <t>LUMINÁRIA FECHADA TIPO CALHA, DE EMBUTIR, COM 2 LÂMPADAS TUBULARES LED DE 10 W COM REFLETOR COM DIFUSOR - FORNECIMENTO E INSTALAÇÃO.</t>
  </si>
  <si>
    <t>10.51</t>
  </si>
  <si>
    <t>LUMINÁRIA DE EMERGÊNCIA, COM 30 LÂMPADAS LED DE 2 W, SEM REATOR – FORNECIMENTO E INSTALAÇÃO. AF_02/2020</t>
  </si>
  <si>
    <t>10.52</t>
  </si>
  <si>
    <t>COMPOSIÇÃO IE.25</t>
  </si>
  <si>
    <t>LUMINÁRIA TIPO EMBUTIR REDONDA, COM 1 LÂMPADA LED 10 W - FORNECIMENTO E INSTALAÇÃO.</t>
  </si>
  <si>
    <t>10.53</t>
  </si>
  <si>
    <t>COMPOSIÇÃO IE.14</t>
  </si>
  <si>
    <t>BALIZADOR LED DE PAREDE – FORNECIMENTO E INSTALAÇÃO.</t>
  </si>
  <si>
    <t>INSTALAÇÕES DE REDE DE DADOS (LÓGICA)</t>
  </si>
  <si>
    <t>10.54</t>
  </si>
  <si>
    <t>COMPOSIÇÃO IE.1</t>
  </si>
  <si>
    <t>ELETROCALHA LISA OU PERFURADA EM AÇO GALVANIZADO, LARGURA 100MM E ALTURA 50MM, INCLUSIVE EMENDA E FIXAÇÃO - FORNECIMENTO E INSTALAÇÃO</t>
  </si>
  <si>
    <t>10.55</t>
  </si>
  <si>
    <t>10.56</t>
  </si>
  <si>
    <t>COMPOSIÇÃO IE.5</t>
  </si>
  <si>
    <t>TE PARA ELETROCALHA, LISA OU PERFURADA EM AÇO GALVANIZADO, LARGURA DE 100MM E ALTURA DE 50MM - FORNECIMENTO E INSTALAÇÃO.</t>
  </si>
  <si>
    <t>10.57</t>
  </si>
  <si>
    <t>COMPOSIÇÃO IE.18</t>
  </si>
  <si>
    <t>CURVA VERTICAL 90º, PARA ELETROCALHA, LISA OU PERFURADA EM AÇO GALVANIZADO, LARGURA DE 100MM E ALTURA DE 50MM - FORNECIMENTO E INSTALAÇÃO.</t>
  </si>
  <si>
    <t>10.58</t>
  </si>
  <si>
    <t>10.59</t>
  </si>
  <si>
    <t>10.60</t>
  </si>
  <si>
    <t>10.61</t>
  </si>
  <si>
    <t>10.62</t>
  </si>
  <si>
    <t>10.63</t>
  </si>
  <si>
    <t>10.64</t>
  </si>
  <si>
    <t>CAIXA RETANGULAR 4" X 2" MÉDIA (1,30 M DO PISO), PVC, INSTALADA EM PAREDE - FORNECIMENTO E INSTALAÇÃO. AF_12/2015</t>
  </si>
  <si>
    <t>10.65</t>
  </si>
  <si>
    <t>COMPOSIÇÃO IE.16</t>
  </si>
  <si>
    <t>CABO DE FIBRA ÓPTICA - FORNECIMENTO E INSTALAÇÃO.</t>
  </si>
  <si>
    <t>10.66</t>
  </si>
  <si>
    <t>COMPOSIÇÃO IE.17</t>
  </si>
  <si>
    <t>CONECTORIZAÇÃO PONTO FIBRA ÓPTICA</t>
  </si>
  <si>
    <t>PT</t>
  </si>
  <si>
    <t>10.67</t>
  </si>
  <si>
    <t>COMPOSIÇÃO IE.15</t>
  </si>
  <si>
    <t>RACK FECHADO 5U COM PORTA - FORNECIMENTO E INSTALAÇÃO.</t>
  </si>
  <si>
    <t>10.68</t>
  </si>
  <si>
    <t>PATCH PANEL 24 PORTAS, CATEGORIA 6 - FORNECIMENTO E INSTALAÇÃO. AF_11/2019</t>
  </si>
  <si>
    <t>10.69</t>
  </si>
  <si>
    <t>TOMADA DE REDE RJ45 - FORNECIMENTO E INSTALAÇÃO. AF_11/2019</t>
  </si>
  <si>
    <t>10.70</t>
  </si>
  <si>
    <t>CABO ELETRÔNICO CATEGORIA 6, INSTALADO EM EDIFICAÇÃO INSTITUCIONAL – FORNECIMENTO E INSTALAÇÃO. AF_11/2019</t>
  </si>
  <si>
    <t>INSTALAÇÕES DE SISTEMA DE CHAMADA DE ENFERMAGEM</t>
  </si>
  <si>
    <t>10.71</t>
  </si>
  <si>
    <t>10.72</t>
  </si>
  <si>
    <t>10.73</t>
  </si>
  <si>
    <t>10.74</t>
  </si>
  <si>
    <t>10.75</t>
  </si>
  <si>
    <t>CURVA DE INVERSÃO 90º, PARA ELETROCALHA, LISA OU PERFURADA EM AÇO GALVANIZADO, LARGURA DE 100MM E ALTURA DE 50MM - FORNECIMENTO E INSTALAÇÃO.</t>
  </si>
  <si>
    <t>10.76</t>
  </si>
  <si>
    <t>COMPOSIÇÃO IE.6</t>
  </si>
  <si>
    <t>CURVA HORIZONTAL 90º, PARA ELETROCALHA, LISA OU PERFURADA EM AÇO GALVANIZADO, LARGURA DE 100MM E ALTURA DE 50MM - FORNECIMENTO E INSTALAÇÃO.</t>
  </si>
  <si>
    <t>10.77</t>
  </si>
  <si>
    <t>COMPOSIÇÃO IE.26</t>
  </si>
  <si>
    <t>PERFILADO PERFURADO SIMPLES 38 X 38 MM - FORNECIMENTO E INSTALAÇÃO</t>
  </si>
  <si>
    <t>10.78</t>
  </si>
  <si>
    <t>COMPOSIÇÃO IE.27</t>
  </si>
  <si>
    <t>JUNÇÃO EXTERNA EMENDA PERFILADO PERFURADO SIMPLES 38 X 38 MM - FORNECIMENTO E INSTALAÇÃO</t>
  </si>
  <si>
    <t>10.79</t>
  </si>
  <si>
    <t>COMPOSIÇÃO IE.28</t>
  </si>
  <si>
    <t>JUNÇÃO INTERNA T PERFILADO PERFURADO SIMPLES 38 X 38 MM - FORNECIMENTO E INSTALAÇÃO</t>
  </si>
  <si>
    <t>10.80</t>
  </si>
  <si>
    <t>COMPOSIÇÃO IE.29</t>
  </si>
  <si>
    <t>JUNÇÃO INTERNA X PERFILADO PERFURADO SIMPLES 38 X 38 MM - FORNECIMENTO E INSTALAÇÃO</t>
  </si>
  <si>
    <t>10.81</t>
  </si>
  <si>
    <t>10.82</t>
  </si>
  <si>
    <t>10.83</t>
  </si>
  <si>
    <t>10.84</t>
  </si>
  <si>
    <t>10.85</t>
  </si>
  <si>
    <t>10.86</t>
  </si>
  <si>
    <t>COMPOSIÇÃO IE.30</t>
  </si>
  <si>
    <t>CABO DE COBRE FLEXÍVEL ISOLADO, 1,0 MM², ANTI-CHAMA 450/750 V, PARA CIRCUITOS TERMINAIS - FORNECIMENTO E INSTALAÇÃO. AF_12/2015</t>
  </si>
  <si>
    <t>10.87</t>
  </si>
  <si>
    <t>COTAÇÃO</t>
  </si>
  <si>
    <t>ESTAÇÃO DE LEITO ECONÔMICO C/ PRESENÇA</t>
  </si>
  <si>
    <t>10.88</t>
  </si>
  <si>
    <t>BOTÃO DO PACIENTE SEM DESCONEXÃO</t>
  </si>
  <si>
    <t>10.89</t>
  </si>
  <si>
    <t>ESTAÇÃO PARA BANHEIRO COM CORDEL</t>
  </si>
  <si>
    <t>10.90</t>
  </si>
  <si>
    <t>SINALEIRO DE PORTA DE LED´S</t>
  </si>
  <si>
    <t>10.91</t>
  </si>
  <si>
    <t>CENTRAL PARA POSTO DE ENFERMAGEM - 64 POSIÇÕES</t>
  </si>
  <si>
    <t>10.92</t>
  </si>
  <si>
    <t>SUPORTE PARA BOTÃO DO PACIENTE</t>
  </si>
  <si>
    <t>10.93</t>
  </si>
  <si>
    <t>FONTE DE ALIMENTAÇÃO 12VDC 20A</t>
  </si>
  <si>
    <t>PINTURA</t>
  </si>
  <si>
    <t>11.1</t>
  </si>
  <si>
    <t>APLICAÇÃO DE FUNDO SELADOR ACRÍLICO EM PAREDES, UMA DEMÃO. AF_06/2014</t>
  </si>
  <si>
    <t>11.2</t>
  </si>
  <si>
    <t xml:space="preserve">APLICAÇÃO E LIXAMENTO DE MASSA LÁTEX EM PAREDES, DUAS DEMÃOS. AF_06/2014 </t>
  </si>
  <si>
    <t>11.3</t>
  </si>
  <si>
    <t>APLICAÇÃO E LIXAMENTO DE MASSA LÁTEX EM TETO, DUAS DEMÃOS. AF_06/2014</t>
  </si>
  <si>
    <t>11.4</t>
  </si>
  <si>
    <t>APLICAÇÃO MANUAL DE PINTURA COM TINTA LÁTEX ACRÍLICA EM PAREDES, DUAS DEMÃOS. AF_06/2014</t>
  </si>
  <si>
    <t>11.5</t>
  </si>
  <si>
    <t>APLICAÇÃO MANUAL DE PINTURA COM TINTA LÁTEX ACRÍLICA EM TETO, DUAS DEMÃOS. AF_06/2014</t>
  </si>
  <si>
    <t>COMPLEMENTARES</t>
  </si>
  <si>
    <t>12.1</t>
  </si>
  <si>
    <t>99803</t>
  </si>
  <si>
    <t>LIMPEZA DE PISO CERÂMICO OU PORCELANATO COM PANO ÚMIDO. AF_04/2019</t>
  </si>
  <si>
    <t>12.2</t>
  </si>
  <si>
    <t>COMPOSIÇÃO 5</t>
  </si>
  <si>
    <t xml:space="preserve">PROTETOR DE PAREDE BATE MACAS - ALTURA MÍNIMA = 12 CM </t>
  </si>
  <si>
    <t>12.3</t>
  </si>
  <si>
    <t>KIT DE ACESSORIOS PARA BANHEIRO EM METAL CROMADO, 5 PECAS, INCLUSO FIXAÇÃO. AF_01/2020</t>
  </si>
  <si>
    <t>12.4</t>
  </si>
  <si>
    <t>ASSENTO SANITÁRIO CONVENCIONAL - FORNECIMENTO E INSTALACAO. AF_01/2020</t>
  </si>
  <si>
    <t>12.5</t>
  </si>
  <si>
    <t>BARRA DE APOIO EM "L", EM ACO INOX POLIDO 80 X 80 CM, FIXADA NA PAREDE - FORNECIMENTO E INSTALACAO. AF_01/2020</t>
  </si>
  <si>
    <t>12.6</t>
  </si>
  <si>
    <t>BARRA DE APOIO RETA, EM ACO INOX POLIDO, COMPRIMENTO 90 CM,  FIXADA NA PAREDE - FORNECIMENTO E INSTALAÇÃO. AF_01/2020</t>
  </si>
  <si>
    <t>12.7</t>
  </si>
  <si>
    <t>12.8</t>
  </si>
  <si>
    <t>12.9</t>
  </si>
  <si>
    <t>AQUECEDOR VERSÁTIL PARA MISTURADOR</t>
  </si>
  <si>
    <t>12.10</t>
  </si>
  <si>
    <t>CHUVEIRO COMUM EM PLASTICO CROMADO, COM CANO, 4 TEMPERATURAS (110/220 V)</t>
  </si>
  <si>
    <t>12.11</t>
  </si>
  <si>
    <t>Orçamento Mercado</t>
  </si>
  <si>
    <t>Tampo medindo 1500x600mm, constituído por espelho posterior de 100mm de altura, com 01(um) expurgo padrão hospitalar 320mm com bocal de 100mm e 01(uma) cuba medindo 500x400x300mm com válvula padrão americana de 3.1/2”, confeccionado em chapa de aço inoxidável AISI 304 de acabamento polido, com forração em mdf melamínico na parte inferior do tampo.</t>
  </si>
  <si>
    <t>12.12</t>
  </si>
  <si>
    <t>COMPOSIÇÃO 13</t>
  </si>
  <si>
    <t>RENOVADOR DE AR PARABANHEIROS</t>
  </si>
  <si>
    <t>12.13</t>
  </si>
  <si>
    <t>COMPOSIÇÃO 14</t>
  </si>
  <si>
    <t>TUBO FLEXÍVEL PARA INSTALAÇÃO EXAUSTOR</t>
  </si>
  <si>
    <t>REDE DE GASES MEDICINAIS</t>
  </si>
  <si>
    <t>13.1</t>
  </si>
  <si>
    <t>COMPOSIÇÃO 18</t>
  </si>
  <si>
    <t>TUBO EM COBRE RÍGIDO, DIN 15 MM, CLASSE A S/ ISOLAMENTO</t>
  </si>
  <si>
    <t>13.2</t>
  </si>
  <si>
    <t>TÊ DE REDUÇÃO Ø22 – Ø15, COBRE</t>
  </si>
  <si>
    <t>PÇ</t>
  </si>
  <si>
    <t>13.3</t>
  </si>
  <si>
    <t>COTOVELO DE COBRE,9 GRAUS,S/ ANEL DE SOLDA DIN 15 MM, INST.PRUM.</t>
  </si>
  <si>
    <t>13.4</t>
  </si>
  <si>
    <t>COMPOSIÇÃO 8</t>
  </si>
  <si>
    <t>TOMADA DE POSTO DE PAREDE PARA REDE DE GASES, FORNECIMENTO E INSTALAÇÃO</t>
  </si>
  <si>
    <t>13.5</t>
  </si>
  <si>
    <t>13.6</t>
  </si>
  <si>
    <t>13.7</t>
  </si>
  <si>
    <t>VÁLVULA DE BLOQUEIO MANUAL P/ Ø22</t>
  </si>
  <si>
    <t>MOVIMENTAÇÃO DE TERRA</t>
  </si>
  <si>
    <t>14.1</t>
  </si>
  <si>
    <t>COMPOSIÇÃO 7</t>
  </si>
  <si>
    <t>ESCAVAÇÃO MANUAL, PREPARO DE FUNDO DE VALA E REATERRO MANUAL COM COMPACTAÇÃO MECANIZADA PARA REDE DE ESGOTO ENTERRADA</t>
  </si>
  <si>
    <t>14.2</t>
  </si>
  <si>
    <t>ARGILA OU BARRO PARA ATERRO/REATERRO (COM TRANSPORTE ATE 10 KM)</t>
  </si>
  <si>
    <t>14.3</t>
  </si>
  <si>
    <t>96385</t>
  </si>
  <si>
    <t>EXECUÇÃO E COMPACTAÇÃO DE ATERRO COM SOLO PREDOMINANTEMENTE ARGILOSO - EXCLUSIVE SOLO, ESCAVAÇÃO, CARGA E TRANSPORTE. AF_11/2019</t>
  </si>
  <si>
    <t>ADMINISTRAÇÃO LOCAL</t>
  </si>
  <si>
    <t>15.1</t>
  </si>
  <si>
    <t>90778</t>
  </si>
  <si>
    <t>ENGENHEIRO CIVIL DE OBRA PLENO COM ENCARGOS COMPLEMENTARES</t>
  </si>
  <si>
    <t>H</t>
  </si>
  <si>
    <t>15.2</t>
  </si>
  <si>
    <t>90780</t>
  </si>
  <si>
    <t>MESTRE DE OBRAS COM ENCARGOS COMPLEMENTARES</t>
  </si>
  <si>
    <t>TOTAL DO ORÇAMENTO</t>
  </si>
  <si>
    <t>Sapucaia do Sul, 20 de maio de 2022.</t>
  </si>
  <si>
    <t>___________________________________________</t>
  </si>
  <si>
    <t xml:space="preserve">                  Rafael Silveira - eng. Eletricista</t>
  </si>
  <si>
    <t>Pedro José Dorneles Müller - eng. Civil</t>
  </si>
  <si>
    <t xml:space="preserve">                                  CREA 136938</t>
  </si>
  <si>
    <t>CREA 169093</t>
  </si>
  <si>
    <t>ENCARGOS SOCIAIS SOBRE A MÃO DE OBRA - DESONERADO - (ANEXO 6)</t>
  </si>
  <si>
    <t>CODIGO</t>
  </si>
  <si>
    <t>DESCRIÇÃO</t>
  </si>
  <si>
    <t>HORISTA</t>
  </si>
  <si>
    <t>MENSALISTA</t>
  </si>
  <si>
    <t>GRUPO – A</t>
  </si>
  <si>
    <t>A1</t>
  </si>
  <si>
    <t>INSS</t>
  </si>
  <si>
    <t>A2</t>
  </si>
  <si>
    <t>SESI</t>
  </si>
  <si>
    <t>A3</t>
  </si>
  <si>
    <t>SENAI</t>
  </si>
  <si>
    <t>A4</t>
  </si>
  <si>
    <t>INCRA</t>
  </si>
  <si>
    <t>A5</t>
  </si>
  <si>
    <t>SEBRAE</t>
  </si>
  <si>
    <t>A6</t>
  </si>
  <si>
    <t>Salário Educação</t>
  </si>
  <si>
    <t>A7</t>
  </si>
  <si>
    <t>Seguro Contra Acidentes do Trabalho</t>
  </si>
  <si>
    <t>A8</t>
  </si>
  <si>
    <t>FGTS</t>
  </si>
  <si>
    <t>A9</t>
  </si>
  <si>
    <t>SICONCI</t>
  </si>
  <si>
    <t xml:space="preserve">SUB-TOTAL </t>
  </si>
  <si>
    <t xml:space="preserve">GRUPO - B </t>
  </si>
  <si>
    <t>B1</t>
  </si>
  <si>
    <t>Repouso Semanal Renumerado</t>
  </si>
  <si>
    <t>Não incide</t>
  </si>
  <si>
    <t>B2</t>
  </si>
  <si>
    <t>Feriados</t>
  </si>
  <si>
    <t>B3</t>
  </si>
  <si>
    <t>Auxílio - Enfermidade</t>
  </si>
  <si>
    <t>B4</t>
  </si>
  <si>
    <t>13º Salário</t>
  </si>
  <si>
    <t>B5</t>
  </si>
  <si>
    <t>Licença Paternidade</t>
  </si>
  <si>
    <t>B6</t>
  </si>
  <si>
    <t>Faltas Justificadas</t>
  </si>
  <si>
    <t>B7</t>
  </si>
  <si>
    <t>Dias de Chuvas</t>
  </si>
  <si>
    <t>B8</t>
  </si>
  <si>
    <t>Auxilio Acidente de Trabalho</t>
  </si>
  <si>
    <t>B9</t>
  </si>
  <si>
    <t>Férias Gozadas</t>
  </si>
  <si>
    <t>B10</t>
  </si>
  <si>
    <t>Salario Maternidade</t>
  </si>
  <si>
    <t>SUB-TOTAL</t>
  </si>
  <si>
    <t xml:space="preserve">GRUPO - C </t>
  </si>
  <si>
    <t>C1</t>
  </si>
  <si>
    <t>Aviso Prévio Indenizado</t>
  </si>
  <si>
    <t>C2</t>
  </si>
  <si>
    <t>Aviso Prévio Trabalhado</t>
  </si>
  <si>
    <t>C3</t>
  </si>
  <si>
    <t>Férias Indenizadas</t>
  </si>
  <si>
    <t>C4</t>
  </si>
  <si>
    <t>Depósito Rescisão Sem Justa Causa</t>
  </si>
  <si>
    <t>C5</t>
  </si>
  <si>
    <t>Indenização Adicional</t>
  </si>
  <si>
    <t xml:space="preserve">GRUPO - D </t>
  </si>
  <si>
    <t>D1</t>
  </si>
  <si>
    <t>Reincidência de Grupo A sobre Grupo B</t>
  </si>
  <si>
    <t>D2</t>
  </si>
  <si>
    <t>Reincidência de Grupo A sobre Aviso Prévio Trabalhado e Reincidência do FGTS sobre Aviso Prévio Indenizado</t>
  </si>
  <si>
    <t>TOTAL (A+B+C+D)</t>
  </si>
  <si>
    <t>*SINAPI → 96358 FOI ADAPTADA = TIRADA PLACA BRANCA E COLOCADA A VERDE</t>
  </si>
  <si>
    <t>* Acrescentado o isolamento com Lã de Vidro</t>
  </si>
  <si>
    <t>COEF.</t>
  </si>
  <si>
    <t>UNIT.</t>
  </si>
  <si>
    <t>INSUMO</t>
  </si>
  <si>
    <t>37586</t>
  </si>
  <si>
    <t>PINO DE ACO COM ARRUELA CONICA, DIAMETRO ARRUELA = *23* MM E COMP HASTE = *27* MM (ACAO INDIRETA)</t>
  </si>
  <si>
    <t>CENTO</t>
  </si>
  <si>
    <t>0,0243000</t>
  </si>
  <si>
    <t>CHAPA DE GESSO ACARTONADO, RESISTENTE A UMIDADE (RU), COR VERDE, E = 12,5 MM, 1200 X 2400 MM (L X C)</t>
  </si>
  <si>
    <t>2,1060000</t>
  </si>
  <si>
    <t>39419</t>
  </si>
  <si>
    <t>PERFIL GUIA, FORMATO U, EM ACO ZINCADO, PARA ESTRUTURA PAREDE DRYWALL, E = 0,5 MM, 70 X 3000 MM (L X C)</t>
  </si>
  <si>
    <t>0,7604000</t>
  </si>
  <si>
    <t>39422</t>
  </si>
  <si>
    <t>PERFIL MONTANTE, FORMATO C, EM ACO ZINCADO, PARA ESTRUTURA PAREDE DRYWALL, E = 0,5 MM, 70 X 3000 MM (L X C)</t>
  </si>
  <si>
    <t>1,9910000</t>
  </si>
  <si>
    <t>39431</t>
  </si>
  <si>
    <t>FITA DE PAPEL MICROPERFURADO, 50 X 150 MM, PARA TRATAMENTO DE JUNTAS DE CHAPA DE GESSO PARA DRYWALL</t>
  </si>
  <si>
    <t>2,5027000</t>
  </si>
  <si>
    <t>39432</t>
  </si>
  <si>
    <t>FITA DE PAPEL REFORCADA COM LAMINA DE METAL PARA REFORCO DE CANTOS DE CHAPA DE GESSO PARA DRYWALL</t>
  </si>
  <si>
    <t>0,7407000</t>
  </si>
  <si>
    <t>39434</t>
  </si>
  <si>
    <t>MASSA DE REJUNTE EM PO PARA DRYWALL, A BASE DE GESSO, SECAGEM RAPIDA, PARA TRATAMENTO DE JUNTAS DE CHAPA DE GESSO (COM ADICAO DE AGUA)</t>
  </si>
  <si>
    <t>KG</t>
  </si>
  <si>
    <t>1,0327000</t>
  </si>
  <si>
    <t>39435</t>
  </si>
  <si>
    <t>PARAFUSO DRY WALL, EM ACO FOSFATIZADO, CABECA TROMBETA E PONTA AGULHA (TA), COMPRIMENTO 25 MM</t>
  </si>
  <si>
    <t>20,0077000</t>
  </si>
  <si>
    <t>39443</t>
  </si>
  <si>
    <t>PARAFUSO DRY WALL, EM ACO ZINCADO, CABECA LENTILHA E PONTA BROCA (LB), LARGURA 4,2 MM, COMPRIMENTO 13 MM</t>
  </si>
  <si>
    <t>0,8076000</t>
  </si>
  <si>
    <t>COMPOSICAO</t>
  </si>
  <si>
    <t>88278</t>
  </si>
  <si>
    <t>MONTADOR DE ESTRUTURA METÁLICA COM ENCARGOS COMPLEMENTARES</t>
  </si>
  <si>
    <t>0,5449000</t>
  </si>
  <si>
    <t>88316</t>
  </si>
  <si>
    <t>SERVENTE COM ENCARGOS COMPLEMENTARES</t>
  </si>
  <si>
    <t>0,1362000</t>
  </si>
  <si>
    <t xml:space="preserve">PAINEL DE LA DE VIDRO SEM REVESTIMENTO PSI 20, E = 50 MM, DE 1200 X 600 MM </t>
  </si>
  <si>
    <t>*ACRESCENTADO</t>
  </si>
  <si>
    <t xml:space="preserve">PLACA / CHAPA DE GESSO ACARTONADO, RESISTENTE A UMIDADE (RU), COR VERDE, E = 12,5 MM, 1200 X 2400 MM (L X C)                                                                                                                                                                                                                                                                                                                                                                                              </t>
  </si>
  <si>
    <t xml:space="preserve">M2    </t>
  </si>
  <si>
    <t>PERFIL CANALETA, FORMATO C, EM ACO ZINCADO, PARA ESTRUTURA FORRO DRYWALL, E = 0,5 MM, *46 X 18* (L X H), COMPRIMENTO 3 M</t>
  </si>
  <si>
    <t>PENDURAL OU PRESILHA REGULADORA, EM ACO GALVANIZADO, COM CORPO, MOLA E REBITE, PARA PERFIL TIPO CANALETA DE ESTRUTURA EM FORROS DRYWALL</t>
  </si>
  <si>
    <t>MASSA DE REJUNTE EM PO PARA DRYWALL, A BASE DE GESSO, SECAGEM RAPIDA, PARA TRATAMENTO DE JUNTAS DE CHAPA DE GESSO (NECESSITA ADICAO DE AGUA)</t>
  </si>
  <si>
    <t>PARAFUSO ZINCADO, AUTOBROCANTE, FLANGEADO, 4,2 MM X 19 MM</t>
  </si>
  <si>
    <t>ARAME GALVANIZADO 6 BWG, D = 5,16 MM (0,157 KG/M), OU 8 BWG, D = 4,19 MM (0,101 KG/M), OU 10 BWG, D = 3,40 MM (0,0713 KG/M)</t>
  </si>
  <si>
    <t>Coef.</t>
  </si>
  <si>
    <t>R$</t>
  </si>
  <si>
    <t>TOTAL R$</t>
  </si>
  <si>
    <t xml:space="preserve">PARAFUSO DE LATAO COM ROSCA SOBERBA, CABECA CHATA E FENDA SIMPLES, DIAMETRO 4,8 MM, COMPRIMENTO 65 MM                                                                                                                                                                                                                                                                                                                                                                                                     </t>
  </si>
  <si>
    <t xml:space="preserve">UN    </t>
  </si>
  <si>
    <t xml:space="preserve">LAMBRI EM ALUMINIO, DE APROXIMADAMENTE 0,6 KG/M, COM APROXIMADAMENTE 168,0 MM DE LARGURA, 6,0 MM DE ALTURA E 6,0 M DE EXTENSAO                                                                                                                                                                                                                                                                                                                                                                            </t>
  </si>
  <si>
    <t xml:space="preserve">KG    </t>
  </si>
  <si>
    <t xml:space="preserve">MARCENEIRO                                                                                                                                                                                                                                                                                                                                                                                                                                                                                                </t>
  </si>
  <si>
    <t xml:space="preserve">H     </t>
  </si>
  <si>
    <t xml:space="preserve">M     </t>
  </si>
  <si>
    <t xml:space="preserve">JANELA MAXIM AR EM ALUMINIO, 80 X 60 CM (A X L), BATENTE/REQUADRO DE 4 A 14 CM, COM VIDRO, SEM GUARNICAO/ALIZAR                                                                                                                                                                                                                                                                                                                                                                                           </t>
  </si>
  <si>
    <t>PEDREIRO COM ENCARGOS COMPLEMENTARES</t>
  </si>
  <si>
    <t>ARGAMASSA TRAÇO 1:3 (EM VOLUME DE CIMENTO E AREIA MÉDIA ÚMIDA), PREPARO MANUAL. AF_08/2019</t>
  </si>
  <si>
    <t xml:space="preserve">GUARNICAO/MOLDURA DE ACABAMENTO PARA ESQUADRIA DE ALUMINIO ANODIZADO NATURAL, PARA 1 FACE                                                                                                                                                                                                                                                                                                                                                                                                                 </t>
  </si>
  <si>
    <t xml:space="preserve">COTAÇÃO </t>
  </si>
  <si>
    <t>RENOVADOR DE AR PARA BANHEIROS</t>
  </si>
  <si>
    <t>88264</t>
  </si>
  <si>
    <t>ELETRICISTA COM ENCARGOS COMPLEMENTARES</t>
  </si>
  <si>
    <t>0,4500000</t>
  </si>
  <si>
    <t>0,3000000</t>
  </si>
  <si>
    <t>TUBO FLEXÍVEL 125MM PARA INSTALAÇÃO EXAUSTOR</t>
  </si>
  <si>
    <t>ABRAÇADEIRAS 125MM</t>
  </si>
  <si>
    <t xml:space="preserve">UN </t>
  </si>
  <si>
    <t>TOTAL</t>
  </si>
  <si>
    <t>ML</t>
  </si>
  <si>
    <t>R$  P/ML</t>
  </si>
  <si>
    <t>TUBO EM COBRE RÍGIDO, DN 15 MM, CLASSE A, SEM ISOLAMENTO, INSTALADO EM RAMAL E SUB-RAMAL  FORNECIMENTO E INSTALAÇÃO. AF_12/2015</t>
  </si>
  <si>
    <t>39747</t>
  </si>
  <si>
    <t>TUBO DE COBRE CLASSE "A", DN = 1/2 " (15 MM), PARA INSTALACOES DE MEDIA PRESSAO PARA GASES COMBUSTIVEIS E MEDICINAIS</t>
  </si>
  <si>
    <t>88248</t>
  </si>
  <si>
    <t>AUXILIAR DE ENCANADOR OU BOMBEIRO HIDRÁULICO COM ENCARGOS COMPLEMENTARES</t>
  </si>
  <si>
    <t>88267</t>
  </si>
  <si>
    <t>ENCANADOR OU BOMBEIRO HIDRÁULICO COM ENCARGOS COMPLEMENTARES</t>
  </si>
  <si>
    <t>12732</t>
  </si>
  <si>
    <t>SOLDA ESTANHO/COBRE PARA CONEXOES DE COBRE, FIO 2,5 MM, CARRETEL 500 GR (SEM CHUMBO)</t>
  </si>
  <si>
    <t>38383</t>
  </si>
  <si>
    <t>LIXA D'AGUA EM FOLHA, GRAO 100</t>
  </si>
  <si>
    <t>39897</t>
  </si>
  <si>
    <t>PASTA PARA SOLDA DE TUBOS E CONEXOES DE COBRE (EMBALAGEM COM 250 G)</t>
  </si>
  <si>
    <t>cotação</t>
  </si>
  <si>
    <t>TOMADA O2</t>
  </si>
  <si>
    <t>TOMADA AR COMP.</t>
  </si>
  <si>
    <t>INSTALADOR DE TUBULACOES (TUBOS/EQUIPAMENTOS)</t>
  </si>
  <si>
    <t>88243</t>
  </si>
  <si>
    <t>AJUDANTE ESPECIALIZADO COM ENCARGOS COMPLEMENTARES</t>
  </si>
  <si>
    <t>ASSENTADOR DE TUBOS COM ENCARGOS COMPLEMENTARES</t>
  </si>
  <si>
    <t>JUNTA ARGAMASSADA ENTRE TUBO DN 100 MM E O POÇO DE VISITA/ CAIXA DE CONCRETO OU ALVENARIA EM REDES DE ESGOTO. AF_01/2021</t>
  </si>
  <si>
    <t>ESCAVAÇÃO MANUAL DE VALA COM PROFUNDIDADE MENOR OU IGUAL A 1,30 M. AF_02/2021</t>
  </si>
  <si>
    <t>REATERRO MANUAL DE VALAS COM COMPACTAÇÃO MECANIZADA. AF_04/2016</t>
  </si>
  <si>
    <t>PREPARO DE FUNDO DE VALA COM LARGURA MENOR QUE 1,5 M, COM CAMADA DE AREIA, LANÇAMENTO MANUAL. AF_08/2020</t>
  </si>
  <si>
    <t>COMPOSIÇÕES</t>
  </si>
  <si>
    <t>CÓDIGO</t>
  </si>
  <si>
    <t>MATERIAL</t>
  </si>
  <si>
    <t>ORIGEM</t>
  </si>
  <si>
    <t>PREÇO</t>
  </si>
  <si>
    <t>TIPO</t>
  </si>
  <si>
    <t>QTDE</t>
  </si>
  <si>
    <t>PREÇO UN</t>
  </si>
  <si>
    <t>PREÇO TOT</t>
  </si>
  <si>
    <t>COEFICIENTE DE REPRESENTATIVIDADE</t>
  </si>
  <si>
    <t>-</t>
  </si>
  <si>
    <t>ELETROCALHA LISA OU PERFURADA EM CHAPA DE
AÇO GALVANIZADO, LARGURA 100 MM E ALTURA 50
MM, ESPESSURA #18</t>
  </si>
  <si>
    <t>02.INEL.ELCA.012/01</t>
  </si>
  <si>
    <t xml:space="preserve">EMENDA PARA ELETROCALHA, LISA OU
PERFURADA EM AÇO GALVANIZADO, LARGURA DE
100MM E ALTURA DE 50MM - FORNECIMENTO E
INSTALAÇÃO. </t>
  </si>
  <si>
    <t>PERFILADO DE SEÇÃO 38X76 MM PARA SUPORTE
DE ELETROCALHA LISA OU PERFURADA EM AÇO
GALVANIZADO, LARGURA 100 MM E ALTURA 50 MM. AF_07/2017</t>
  </si>
  <si>
    <t>TAMPA ELETROCALHA LARGURA 100 MM</t>
  </si>
  <si>
    <t>COMPOSIÇÃO</t>
  </si>
  <si>
    <t>AUXILIAR DE ELETRICISTA COM ENCARGOS
COMPLEMENTARES</t>
  </si>
  <si>
    <t>COLETADO</t>
  </si>
  <si>
    <t>COMPOSIÇÃO X</t>
  </si>
  <si>
    <t xml:space="preserve">EMENDA PARA ELETROCALHA, LISA OU
PERFURADA EM AÇO GALVANIZADO, LARGURA DE 100MM E ALTURA DE 50MM - FORNECIMENTO E INSTALAÇÃO. </t>
  </si>
  <si>
    <t>EMENDA PARA ELETROCALHA, LISA OU
PERFURADA EM AÇO GALVANIZADO, LARGURA DE 100MM E ALTURA DE 50MM - FORNECIMENTO E INSTALAÇÃO</t>
  </si>
  <si>
    <t>TALA PARA EMENDA DE ELETROCALHA LISA OU
PERFURADA</t>
  </si>
  <si>
    <t>PARAFUSO CABEÇA LENTILHA ¼” X ¾”</t>
  </si>
  <si>
    <t>ARRUELA SIMPLES ¼”</t>
  </si>
  <si>
    <t>PORCA SEXTAVADA ¼”</t>
  </si>
  <si>
    <t>ELETROCALHA LISA OU PERFURADA EM CHAPA DE
AÇO GALVANIZADO, LARGURA 200 MM E ALTURA 50
MM, ESPESSURA #18</t>
  </si>
  <si>
    <t>PERFILADO DE SEÇÃO 38X76 MM PARA SUPORTE
DE ELETROCALHA LISA OU PERFURADA EM AÇO
GALVANIZADO, LARGURA 200 MM E ALTURA 50 MM. AF_07/2017</t>
  </si>
  <si>
    <t xml:space="preserve">EMENDA PARA ELETROCALHA, LISA OU
PERFURADA EM AÇO GALVANIZADO, LARGURA DE 200MM E ALTURA DE 50MM - FORNECIMENTO E INSTALAÇÃO. </t>
  </si>
  <si>
    <t>TALA PARA EMENDA DE ELETROCALHA LISA OU PERFURADA</t>
  </si>
  <si>
    <t>SAIDA GALVANIZADA ELETROCALHA PARA ELETRODUTO 3/4”</t>
  </si>
  <si>
    <t>TE PARA ELETROCALHA, LISA OU PERFURADA EM AÇO GALVANIZADO, LARGURA DE 100MM E ALTURA DE 50MM</t>
  </si>
  <si>
    <t>CURVA HORIZONTAL 90º, PARA ELETROCALHA, LISA OU PERFURADA EM AÇO GALVANIZADO, LARGURA DE 100MM E ALTURA DE 50MM - FORNECIMENTO E
INSTALAÇÃO.</t>
  </si>
  <si>
    <t>CURVA HORIZONTAL 90º, PARA ELETROCALHA, LISA OU PERFURADA EM AÇO GALVANIZADO, LARGURA
DE 100MM E ALTURA DE 50MM</t>
  </si>
  <si>
    <t>TE PARA ELETROCALHA, LISA OU PERFURADA EM AÇO GALVANIZADO, LARGURA DE 200MM E ALTURA DE 50MM</t>
  </si>
  <si>
    <t>CURVA HORIZONTAL 90º, PARA ELETROCALHA, LISA OU PERFURADA EM AÇO GALVANIZADO, LARGURA DE 200MM E ALTURA DE 50MM - FORNECIMENTO E
INSTALAÇÃO.</t>
  </si>
  <si>
    <t>CURVA HORIZONTAL 90º, PARA ELETROCALHA, LISA OU PERFURADA EM AÇO GALVANIZADO, LARGURA
DE 200MM E ALTURA DE 50MM</t>
  </si>
  <si>
    <t>CURVA VERTICAL 90º, PARA ELETROCALHA, LISA OU PERFURADA EM AÇO GALVANIZADO, LARGURA DE 200MM E ALTURA DE 50MM - FORNECIMENTO E
INSTALAÇÃO.</t>
  </si>
  <si>
    <t>CURVA VERTICAL 90º, PARA ELETROCALHA, LISA
OU PERFURADA EM AÇO GALVANIZADO, LARGURA
DE 200MM E ALTURA DE 50MM</t>
  </si>
  <si>
    <t>CRUZETA, PARA ELETROCALHA, LISA OU PERFURADA EM AÇO GALVANIZADO, LARGURA DE 200MM E ALTURA DE 50MM - FORNECIMENTO E INSTALAÇÃO.</t>
  </si>
  <si>
    <t>CRUZETA, PARA ELETROCALHA, LISA OU PERFURADA EM AÇO GALVANIZADO, LARGURA DE 200MM E ALTURA DE 50MM</t>
  </si>
  <si>
    <t>COMPOSIÇÃO IE.11</t>
  </si>
  <si>
    <t>DISPOSITIVO DR 25A – TIPO B – FORNECIMENTO E INSTALAÇÃO.</t>
  </si>
  <si>
    <t>DISPOSITIVO DR, 2 POLOS, SENSIBILIDADE DE 300 MA, CORRENTE DE 25 A,</t>
  </si>
  <si>
    <t>TERMINAL A COMPRESSAO EM COBRE ESTANHADO PARA CABO 6 MM2, 1 FURO E 1 COMPRESSAO, PARA PARAFUSO DE FIXACAO M6</t>
  </si>
  <si>
    <t>AUXILIAR DE ELETRICISTA COM ENCARGOS COMPLEMENTARES</t>
  </si>
  <si>
    <t>DISPOSITIVO DR, 2 POLOS, SENSIBILIDADE DE 30 MA, CORRENTE DE 40 A, TIPO AC</t>
  </si>
  <si>
    <t>LUMINÁRIA FECHADA TIPO CALHA, DE EMBUTIR</t>
  </si>
  <si>
    <t>LAMPADA LED TUBULAR BIVOLT 9/10 W, BASE G13</t>
  </si>
  <si>
    <t>RACK FECHADO 5U COM PORTA</t>
  </si>
  <si>
    <t>CABO OPTICO CFOT-MM50-EO-06FO COG</t>
  </si>
  <si>
    <t>CURVA VERTICAL 90º, PARA ELETROCALHA, LISA OU PERFURADA EM AÇO GALVANIZADO, LARGURA DE 100MM E ALTURA DE 50MM - FORNECIMENTO E
INSTALAÇÃO.</t>
  </si>
  <si>
    <t>CURVA VERTICAL 90º, PARA ELETROCALHA, LISA
OU PERFURADA EM AÇO GALVANIZADO, LARGURA
DE 100MM E ALTURA DE 50MM</t>
  </si>
  <si>
    <t>COMPOSIÇÃO IE.19</t>
  </si>
  <si>
    <t>INSTALAÇÃO QUADRO IT MÉDICO</t>
  </si>
  <si>
    <t>ENGENHEIRO ELETRICISTA COM ENCARGOS COMPLEMENTARES</t>
  </si>
  <si>
    <t>COMPOSIÇÃO IE.20</t>
  </si>
  <si>
    <t>DISJUNTOR MONOPOLAR TIPO DIN, CORRENTE NOMINAL DE 80A - FORNECIMENTO E INSTALAÇÃO.</t>
  </si>
  <si>
    <t>DISJUNTOR TIPO DIN / IEC, MONOPOLAR DE 80A</t>
  </si>
  <si>
    <t>TERMINAL A COMPRESSAO EM COBRE ESTANHADO PARA CABO 25 MM2, 1 FURO E 1 COMPRESSAO, PARA PARAFUSO DE FIXACAO M8</t>
  </si>
  <si>
    <t>QUADRO DE DISTRIBUIÇÃO DE ENERGIA EM CHAPA DE AÇO GALVANIZADO, DE EMBUTOR, COM BARRAMENTO TRIFÁSICO, PARA 60 DISJUNTORES DIN - FORNECIMENTO E INSTALAÇÃO.</t>
  </si>
  <si>
    <t xml:space="preserve">QUADRO DE DISTRIBUICAO COM BARRAMENTO TRIFASICO, DE EMBUTIR, EM CHAPA DE ACO GALVANIZADO, PARA 60 DISJUNTORES DIN, 225 A   </t>
  </si>
  <si>
    <t>ARGAMASSA TRAÇO 1:1:6 (EM VOLUME DE CIMENTO, CAL E AREIA MÉDIA ÚMIDA) PARA EMBOÇO/MASSA ÚNICA/ASSENTAMENTO DE ALVENARIA DE VEDAÇÃO, PREPARO MANUAL. AF_08/2019</t>
  </si>
  <si>
    <t>ELETROCALHA LISA OU PERFURADA EM AÇO
GALVANIZADO, LARGURA 50MM E ALTURA 50MM,
INCLUSIVE EMENDA E FIXAÇÃO - FORNECIMENTO E
INSTALAÇÃO</t>
  </si>
  <si>
    <t>ELETROCALHA LISA OU PERFURADA EM CHAPA DE
AÇO GALVANIZADO, LARGURA 50 MM E ALTURA 50
MM, ESPESSURA #18</t>
  </si>
  <si>
    <t xml:space="preserve">EMENDA PARA ELETROCALHA, LISA OU
PERFURADA EM AÇO GALVANIZADO, LARGURA DE
50MM E ALTURA DE 50MM - FORNECIMENTO E
INSTALAÇÃO. </t>
  </si>
  <si>
    <t>EMENDA PARA ELETROCALHA, LISA OU
PERFURADA EM AÇO GALVANIZADO, LARGURA DE
100MM E ALTURA DE 50MM - FORNECIMENTO E
INSTALAÇÃO. AF_09/2016</t>
  </si>
  <si>
    <t>CURVA HORIZONTAL 90º, PARA ELETROCALHA, LISA OU PERFURADA EM AÇO GALVANIZADO, LARGURA DE 50MM E ALTURA DE 50MM - FORNECIMENTO E
INSTALAÇÃO.</t>
  </si>
  <si>
    <t>CURVA HORIZONTAL 90º, PARA ELETROCALHA, LISA OU PERFURADA EM AÇO GALVANIZADO, LARGURA
DE 50MM E ALTURA DE 50MM</t>
  </si>
  <si>
    <t>CONDULETE DE ALUMINIO TIPO LR, PARA ELETRODUTO ROSCAVEL DE 4", COM TAMPA CEGA</t>
  </si>
  <si>
    <t>BUCHA DE NYLON SEM ABA S6, COM PARAFUSO DE 4,20 X 40 MM EM ACO ZINCADO COM ROSCA SOBERBA, CABECA CHATA E FENDA PHILLIPS</t>
  </si>
  <si>
    <t>LUMINARIA PLAFON REDONDO COM VIDRO FOSCO DIAMETRO *25* CM, PARA 1 LAMPADA, BASE E27, POTENCIA MAXIMA 40/60 W (NAO INCLUI LAMPADA)</t>
  </si>
  <si>
    <t>AS</t>
  </si>
  <si>
    <t>LAMPADA LED 10 W BIVOLT BRANCA, FORMATO TRADICIONAL (BASE E27)</t>
  </si>
  <si>
    <t>PERFILADO PERFURADO SIMPLES 38 X 38 MM, CHAPA 22</t>
  </si>
  <si>
    <t>JUNÇÃO EXTERNA EMENDA PERFILADO PERFURADO SIMPLES 38 X 38 MM</t>
  </si>
  <si>
    <t>JUNÇÃO INTERNA T PERFILADO PERFURADO SIMPLES 38 X 38 MM</t>
  </si>
  <si>
    <t xml:space="preserve">JUNÇÃO INTERNA X PERFILADO PERFURADO SIMPLES 38 X 38 MM </t>
  </si>
  <si>
    <t xml:space="preserve">CABO DE COBRE, FLEXIVEL, CLASSE 4 OU 5, ISOLACAO EM PVC/A, ANTICHAMA BWF-B, 1 CONDUTOR, 450/750 V, SECAO NOMINAL 1,0 MM2 </t>
  </si>
  <si>
    <t>FITA ISOLANTE ADESIVA ANTICHAMA, USO ATE 750 V, EM ROLO DE 19 MM X 5 M</t>
  </si>
  <si>
    <t>PLANILHA DE CÁLCULO DE BDI</t>
  </si>
  <si>
    <t>Parâmetro referenciais das rubricas que compõem o BDI:</t>
  </si>
  <si>
    <t>TIPOS DE OBRA</t>
  </si>
  <si>
    <t>ADMINISTRAÇÃO CENTRAL</t>
  </si>
  <si>
    <t>SEGURO + GARANTIA</t>
  </si>
  <si>
    <t>RISCO</t>
  </si>
  <si>
    <t>Tipo de Obra: 2 - Construção de Rodovias e ferrovias</t>
  </si>
  <si>
    <t>1º Quartil</t>
  </si>
  <si>
    <t>Médio</t>
  </si>
  <si>
    <t>3º Quartil</t>
  </si>
  <si>
    <t>DETALHAMENTO DO BDI</t>
  </si>
  <si>
    <t>CONSTRUÇÃO DE EDIFÍCIOS</t>
  </si>
  <si>
    <t>CONSTRUÇÃO DE RODOVIAS E FERROVIAS</t>
  </si>
  <si>
    <t>Descrição dos Serviços</t>
  </si>
  <si>
    <t>%</t>
  </si>
  <si>
    <t>CONSTRUÇÃO DE REDES DE ABASTECIMENTO DE ÁGUA, COLETA DE ESGOTO E CONSTRUÇÕES CORRELATAS</t>
  </si>
  <si>
    <t>PV</t>
  </si>
  <si>
    <t>CD</t>
  </si>
  <si>
    <t>CONSTRUÇÃO E MANUTENÇÃO DE ESTAÇÕES E REDES DE DISTRIBUIÇÃO DE ENERGIA ELÉTRICA</t>
  </si>
  <si>
    <t>OBRAS PORTUÁRIAS, MARÍTIMAS E FLUVIAIS</t>
  </si>
  <si>
    <t>ADMINISTRAÇÃO CENTRAL - AC</t>
  </si>
  <si>
    <t xml:space="preserve"> </t>
  </si>
  <si>
    <t>ESCRITÓRIO CENTRAL</t>
  </si>
  <si>
    <t>DESPESA FINANCEIRA</t>
  </si>
  <si>
    <t>LUCRO</t>
  </si>
  <si>
    <t>1.2</t>
  </si>
  <si>
    <t>VIAGENS</t>
  </si>
  <si>
    <t>1.3</t>
  </si>
  <si>
    <t>OUTROS</t>
  </si>
  <si>
    <t>IMPOSTOS E TAXAS - I</t>
  </si>
  <si>
    <t>ISS</t>
  </si>
  <si>
    <t>PIS</t>
  </si>
  <si>
    <t>Cofins</t>
  </si>
  <si>
    <t>Desoneração</t>
  </si>
  <si>
    <t>TAXA DE RISCO</t>
  </si>
  <si>
    <r>
      <rPr>
        <b/>
        <sz val="11"/>
        <color rgb="FF000000"/>
        <rFont val="Calibri"/>
        <family val="2"/>
      </rPr>
      <t>OBS:</t>
    </r>
    <r>
      <rPr>
        <sz val="11"/>
        <color rgb="FF000000"/>
        <rFont val="Calibri"/>
        <family val="2"/>
      </rPr>
      <t xml:space="preserve"> Estão sujeitos ao regime cumulativo para fins de incidência da contribuição para o PIS-Pasep e da Cofins, às alíquotas de 0,65% e de 3%, respectivamente.  Quanto ao ISS, a alíquota e o local do recolhimento variará de acordo com o sistema tributário da empresa, local e tipo do serviço.</t>
    </r>
  </si>
  <si>
    <t>SEGURO - S</t>
  </si>
  <si>
    <t>3.2</t>
  </si>
  <si>
    <t>RISCO - R</t>
  </si>
  <si>
    <t>GARANTIA - G</t>
  </si>
  <si>
    <t>DESPESAS FINANCEIRAS - DF</t>
  </si>
  <si>
    <t>LUCRO - L</t>
  </si>
  <si>
    <t>BDI - CALCULADO</t>
  </si>
  <si>
    <t>BDI (CALCULADO):</t>
  </si>
  <si>
    <t>Para o preenchimento da proposta deve-se utilizar o valor de ISS da Prefeitura Local.</t>
  </si>
  <si>
    <t xml:space="preserve">BDI CALCULADO CONFORME ACÓRDÃO Nº 2369/2011 – TCU </t>
  </si>
  <si>
    <t>Fórmula de Cálculo do BDI</t>
  </si>
  <si>
    <t>REFORMA DA UNIDADE DE INTERNAÇÃO GERAL ADULTO DO HOSPITAL GETÚLIO VARGAS</t>
  </si>
  <si>
    <t>ORÇAMENTO FÍSICO-FINANCEIRO</t>
  </si>
  <si>
    <t>D E S C R I Ç Ã O</t>
  </si>
  <si>
    <t>ETAPA 1</t>
  </si>
  <si>
    <t>ETAPA 2</t>
  </si>
  <si>
    <t>ETAPA 3</t>
  </si>
  <si>
    <t>TOTAL ACUMULADO</t>
  </si>
  <si>
    <t>* Acrescentada a BANDEIRA das portas h=0,40m SEM vidro</t>
  </si>
  <si>
    <t>*90844</t>
  </si>
  <si>
    <r>
      <rPr>
        <b/>
        <sz val="8"/>
        <rFont val="Courier New"/>
        <family val="3"/>
      </rPr>
      <t xml:space="preserve">KIT DE PORTA DE MADEIRA PARA PINTURA, SEMI-OCA (LEVE OU MÉDIA), PADRÃO MÉDIO, </t>
    </r>
    <r>
      <rPr>
        <b/>
        <sz val="8"/>
        <color rgb="FFFF0000"/>
        <rFont val="Courier New"/>
        <family val="3"/>
      </rPr>
      <t>110X250CM</t>
    </r>
    <r>
      <rPr>
        <b/>
        <sz val="8"/>
        <rFont val="Courier New"/>
        <family val="3"/>
      </rPr>
      <t>, ESPESSURA DE 3,5CM, ITENS INCLUSOS: DOBRADIÇAS, MONTAGEM E INSTALAÇÃO DO BATENTE, FECHADURA COM EXECUÇÃO DO FURO - FORNECIMENTO E INSTALAÇÃO. AF_08/2015 - incluso bandeira fixa c/ vidro</t>
    </r>
  </si>
  <si>
    <r>
      <rPr>
        <sz val="8"/>
        <rFont val="Courier New"/>
        <family val="3"/>
      </rPr>
      <t>KIT DE PORTA DE MADEIRA PARA PINTURA, SEMI-OCA (LEVE OU MÉDIA), PADRÃO MÉDIO,</t>
    </r>
    <r>
      <rPr>
        <b/>
        <sz val="8"/>
        <rFont val="Courier New"/>
        <family val="3"/>
      </rPr>
      <t xml:space="preserve"> 90X210CM</t>
    </r>
    <r>
      <rPr>
        <sz val="8"/>
        <rFont val="Courier New"/>
        <family val="3"/>
      </rPr>
      <t>, ESPESSURA DE 3,5CM, ITENS INCLUSOS: DOBRADIÇAS, MONTAGEM E INSTALAÇÃO DO BATENTE, FECHADURA COM EXECUÇÃO DO FURO - FORNECIMENTO E INSTALAÇÃO. AF_08/2015</t>
    </r>
  </si>
  <si>
    <t>100666</t>
  </si>
  <si>
    <t>JANELA DE MADEIRA (PINUS/EUCALIPTO OU EQUIV.) DE ABRIR COM 4 FOLHAS (2 VENEZIANAS E 2 GUILHOTINAS PARA VIDRO), COM BATENTE, ALIZAR E FERRAGENS. EXCLUSIVE VIDROS, ACABAMENTO E CONTRAMARCO. FORNECIMENTO E INSTALAÇÃO. AF_12/2019</t>
  </si>
  <si>
    <t>COMPOSIÇÃO 9</t>
  </si>
  <si>
    <t>90845</t>
  </si>
  <si>
    <t>KIT DE PORTA DE MADEIRA PARA PINTURA, SEMI-OCA (PESADA OU SUPERPESADA), PADRÃO MÉDIO, 80X210CM, ESPESSURA DE 3,5CM, ITENS INCLUSOS: DOBRADIÇAS, MONTAGEM E INSTALAÇÃO DO BATENTE, FECHADURA COM EXECUÇÃO DO FURO - FORNECIMENTO E INSTALAÇÃO. AF_12/2019</t>
  </si>
  <si>
    <t>COMPOSIÇÃO 10</t>
  </si>
  <si>
    <r>
      <t xml:space="preserve">PORTA DE MADEIRA COMPENSADA LISA PARA PINTURA, </t>
    </r>
    <r>
      <rPr>
        <b/>
        <sz val="8"/>
        <color rgb="FFFF0000"/>
        <rFont val="Courier New"/>
        <family val="3"/>
      </rPr>
      <t>80X</t>
    </r>
    <r>
      <rPr>
        <b/>
        <sz val="8"/>
        <color rgb="FFFF0000"/>
        <rFont val="Courier New"/>
        <family val="3"/>
      </rPr>
      <t>250</t>
    </r>
    <r>
      <rPr>
        <b/>
        <sz val="8"/>
        <color rgb="FF000000"/>
        <rFont val="Courier New"/>
        <family val="3"/>
      </rPr>
      <t>X3,5CM, 2 FOLHAS, INCLUSO ADUELA 2A, ALIZAR 2A E DOBRADICAS</t>
    </r>
  </si>
  <si>
    <r>
      <t xml:space="preserve">KIT DE PORTA DE MADEIRA REVESTIMENTO MELAMÍNICO BRANCO, SEMI-OCA (LEVE OU MÉDIA), PADRÃO MÉDIO, </t>
    </r>
    <r>
      <rPr>
        <sz val="14"/>
        <color rgb="FFFF0000"/>
        <rFont val="Calibri"/>
        <family val="2"/>
      </rPr>
      <t>110X250CM</t>
    </r>
    <r>
      <rPr>
        <sz val="14"/>
        <color rgb="FF000000"/>
        <rFont val="Calibri"/>
        <family val="2"/>
      </rPr>
      <t>, ESPESSURA DE 3,5CM, ITENS INCLUSOS: DOBRADIÇAS, MONTAGEM E INSTALAÇÃO DO BATENTE, FECHADURA COM EXECUÇÃO DO FURO - FORNECIMENTO E INSTALAÇÃO. AF_08/2015 - incluso bandeira fixa c/ vidro</t>
    </r>
  </si>
  <si>
    <r>
      <t xml:space="preserve">KIT PORTA-PRONTA DE MADEIRA COMPENSADA LISA REVESTIMENTO MELAMÍNICO BRANCO, </t>
    </r>
    <r>
      <rPr>
        <sz val="14"/>
        <color rgb="FFFF0000"/>
        <rFont val="Calibri"/>
        <family val="2"/>
      </rPr>
      <t>80X250</t>
    </r>
    <r>
      <rPr>
        <sz val="14"/>
        <color rgb="FF000000"/>
        <rFont val="Calibri"/>
        <family val="2"/>
      </rPr>
      <t>X3,5CM, INCLUSO ADUELA 2A, ALIZAR 2A E DOBRADICAS E FECHADURA</t>
    </r>
  </si>
</sst>
</file>

<file path=xl/styles.xml><?xml version="1.0" encoding="utf-8"?>
<styleSheet xmlns="http://schemas.openxmlformats.org/spreadsheetml/2006/main">
  <numFmts count="9">
    <numFmt numFmtId="164" formatCode="_-* #,##0.00_-;\-* #,##0.00_-;_-* \-??_-;_-@_-"/>
    <numFmt numFmtId="165" formatCode="_-&quot;R$ &quot;* #,##0.00_-;&quot;-R$ &quot;* #,##0.00_-;_-&quot;R$ &quot;* \-??_-;_-@_-"/>
    <numFmt numFmtId="166" formatCode="_(&quot;R$ &quot;* #,##0.00_);_(&quot;R$ &quot;* \(#,##0.00\);_(&quot;R$ &quot;* \-??_);_(@_)"/>
    <numFmt numFmtId="167" formatCode="&quot;R$ &quot;#,##0.00"/>
    <numFmt numFmtId="168" formatCode="[$R$-416]\ #,##0.00;[Red]\-[$R$-416]\ #,##0.00"/>
    <numFmt numFmtId="169" formatCode="_(* #,##0.00_);_(* \(#,##0.00\);_(* \-??_);_(@_)"/>
    <numFmt numFmtId="170" formatCode="#,##0.000"/>
    <numFmt numFmtId="177" formatCode="0%"/>
    <numFmt numFmtId="178" formatCode="General"/>
  </numFmts>
  <fonts count="40">
    <font>
      <sz val="11"/>
      <color rgb="FF000000"/>
      <name val="Calibri"/>
      <family val="2"/>
    </font>
    <font>
      <sz val="10"/>
      <name val="Arial"/>
      <family val="2"/>
    </font>
    <font>
      <sz val="14"/>
      <color rgb="FF000000"/>
      <name val="Calibri"/>
      <family val="2"/>
    </font>
    <font>
      <b/>
      <sz val="28"/>
      <color rgb="FF000000"/>
      <name val="Calibri"/>
      <family val="2"/>
    </font>
    <font>
      <sz val="24"/>
      <color rgb="FF000000"/>
      <name val="Calibri"/>
      <family val="2"/>
    </font>
    <font>
      <b/>
      <sz val="14"/>
      <color rgb="FF000000"/>
      <name val="Calibri"/>
      <family val="2"/>
    </font>
    <font>
      <sz val="14"/>
      <name val="Calibri"/>
      <family val="2"/>
    </font>
    <font>
      <sz val="12"/>
      <color rgb="FF000000"/>
      <name val="Calibri"/>
      <family val="2"/>
    </font>
    <font>
      <b/>
      <sz val="11"/>
      <name val="Arial"/>
      <family val="2"/>
    </font>
    <font>
      <b/>
      <sz val="10"/>
      <name val="Arial"/>
      <family val="2"/>
    </font>
    <font>
      <sz val="10"/>
      <color rgb="FF000000"/>
      <name val="Arial"/>
      <family val="2"/>
    </font>
    <font>
      <b/>
      <sz val="11"/>
      <color rgb="FFFF0000"/>
      <name val="Calibri"/>
      <family val="2"/>
    </font>
    <font>
      <b/>
      <sz val="12"/>
      <color rgb="FFFF0000"/>
      <name val="Calibri"/>
      <family val="2"/>
    </font>
    <font>
      <b/>
      <sz val="8"/>
      <color rgb="FF000000"/>
      <name val="Courier New"/>
      <family val="3"/>
    </font>
    <font>
      <sz val="11"/>
      <color rgb="FF800000"/>
      <name val="Calibri"/>
      <family val="2"/>
    </font>
    <font>
      <b/>
      <sz val="8"/>
      <color rgb="FF008000"/>
      <name val="Courier New"/>
      <family val="3"/>
    </font>
    <font>
      <b/>
      <sz val="11"/>
      <color rgb="FF000000"/>
      <name val="Calibri"/>
      <family val="2"/>
    </font>
    <font>
      <sz val="8"/>
      <color rgb="FF000000"/>
      <name val="Calibri"/>
      <family val="2"/>
    </font>
    <font>
      <sz val="8"/>
      <color rgb="FF000000"/>
      <name val="Courier New"/>
      <family val="3"/>
    </font>
    <font>
      <sz val="8"/>
      <color rgb="FF008000"/>
      <name val="Courier New"/>
      <family val="3"/>
    </font>
    <font>
      <b/>
      <sz val="8"/>
      <color rgb="FFFF0000"/>
      <name val="Courier New"/>
      <family val="3"/>
    </font>
    <font>
      <sz val="8"/>
      <color rgb="FFFF0000"/>
      <name val="Calibri"/>
      <family val="2"/>
    </font>
    <font>
      <b/>
      <sz val="8"/>
      <name val="Courier New"/>
      <family val="3"/>
    </font>
    <font>
      <b/>
      <sz val="10"/>
      <name val="Calibri"/>
      <family val="2"/>
    </font>
    <font>
      <b/>
      <sz val="8"/>
      <color rgb="FF000000"/>
      <name val="Calibri"/>
      <family val="2"/>
    </font>
    <font>
      <sz val="8"/>
      <name val="Calibri"/>
      <family val="2"/>
    </font>
    <font>
      <sz val="10"/>
      <name val="Courier New"/>
      <family val="3"/>
    </font>
    <font>
      <b/>
      <sz val="10"/>
      <name val="Courier New"/>
      <family val="3"/>
    </font>
    <font>
      <sz val="10"/>
      <color rgb="FF000000"/>
      <name val="Calibri"/>
      <family val="2"/>
    </font>
    <font>
      <sz val="10"/>
      <name val="Calibri"/>
      <family val="2"/>
    </font>
    <font>
      <b/>
      <sz val="10"/>
      <color rgb="FF000000"/>
      <name val="Calibri"/>
      <family val="2"/>
    </font>
    <font>
      <sz val="8"/>
      <color rgb="FF000000"/>
      <name val="Arial"/>
      <family val="2"/>
    </font>
    <font>
      <b/>
      <sz val="16"/>
      <name val="Arial"/>
      <family val="2"/>
    </font>
    <font>
      <sz val="11"/>
      <color rgb="FFFFFFFF"/>
      <name val="Calibri"/>
      <family val="2"/>
    </font>
    <font>
      <b/>
      <sz val="11"/>
      <color rgb="FFFFFFFF"/>
      <name val="Calibri"/>
      <family val="2"/>
    </font>
    <font>
      <b/>
      <sz val="14"/>
      <name val="Arial"/>
      <family val="2"/>
    </font>
    <font>
      <b/>
      <sz val="8"/>
      <name val="Arial"/>
      <family val="2"/>
    </font>
    <font>
      <b/>
      <sz val="12"/>
      <name val="Times New Roman"/>
      <family val="1"/>
    </font>
    <font>
      <sz val="8"/>
      <name val="Courier New"/>
      <family val="3"/>
    </font>
    <font>
      <sz val="14"/>
      <color rgb="FFFF0000"/>
      <name val="Calibri"/>
      <family val="2"/>
    </font>
  </fonts>
  <fills count="11">
    <fill>
      <patternFill/>
    </fill>
    <fill>
      <patternFill patternType="gray125"/>
    </fill>
    <fill>
      <patternFill patternType="solid">
        <fgColor rgb="FFFFCC99"/>
        <bgColor indexed="64"/>
      </patternFill>
    </fill>
    <fill>
      <patternFill patternType="solid">
        <fgColor rgb="FFFFFFFF"/>
        <bgColor indexed="64"/>
      </patternFill>
    </fill>
    <fill>
      <patternFill patternType="solid">
        <fgColor rgb="FFD9D9D9"/>
        <bgColor indexed="64"/>
      </patternFill>
    </fill>
    <fill>
      <patternFill patternType="solid">
        <fgColor rgb="FFA5A5A5"/>
        <bgColor indexed="64"/>
      </patternFill>
    </fill>
    <fill>
      <patternFill patternType="solid">
        <fgColor rgb="FF000000"/>
        <bgColor indexed="64"/>
      </patternFill>
    </fill>
    <fill>
      <patternFill patternType="solid">
        <fgColor rgb="FFBFBFBF"/>
        <bgColor indexed="64"/>
      </patternFill>
    </fill>
    <fill>
      <patternFill patternType="solid">
        <fgColor rgb="FFA6A6A6"/>
        <bgColor indexed="64"/>
      </patternFill>
    </fill>
    <fill>
      <patternFill patternType="solid">
        <fgColor rgb="FFD8D8D8"/>
        <bgColor indexed="64"/>
      </patternFill>
    </fill>
    <fill>
      <patternFill patternType="solid">
        <fgColor rgb="FFD9D9D9"/>
        <bgColor indexed="64"/>
      </patternFill>
    </fill>
  </fills>
  <borders count="35">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hair"/>
      <right style="hair"/>
      <top style="hair"/>
      <bottom style="hair"/>
    </border>
    <border>
      <left/>
      <right style="medium"/>
      <top style="medium"/>
      <bottom style="medium"/>
    </border>
    <border>
      <left/>
      <right/>
      <top style="medium"/>
      <bottom/>
    </border>
    <border>
      <left/>
      <right style="medium"/>
      <top style="medium"/>
      <bottom/>
    </border>
    <border>
      <left style="medium"/>
      <right style="medium"/>
      <top style="medium"/>
      <bottom style="medium"/>
    </border>
    <border>
      <left style="thin"/>
      <right style="thin"/>
      <top style="medium"/>
      <bottom/>
    </border>
    <border>
      <left style="thin"/>
      <right/>
      <top style="medium"/>
      <bottom/>
    </border>
    <border>
      <left style="medium"/>
      <right/>
      <top/>
      <bottom/>
    </border>
    <border>
      <left style="medium"/>
      <right style="medium"/>
      <top style="medium"/>
      <bottom/>
    </border>
    <border>
      <left style="medium"/>
      <right style="thin"/>
      <top style="medium"/>
      <bottom/>
    </border>
    <border>
      <left style="thin"/>
      <right style="thin"/>
      <top/>
      <bottom style="medium"/>
    </border>
    <border>
      <left style="thin"/>
      <right/>
      <top/>
      <bottom style="medium"/>
    </border>
    <border>
      <left/>
      <right style="medium"/>
      <top/>
      <bottom/>
    </border>
    <border>
      <left style="medium"/>
      <right style="thin"/>
      <top/>
      <bottom/>
    </border>
    <border>
      <left style="thin"/>
      <right style="thin"/>
      <top/>
      <bottom/>
    </border>
    <border>
      <left style="thin"/>
      <right/>
      <top/>
      <bottom/>
    </border>
    <border>
      <left/>
      <right/>
      <top style="medium"/>
      <bottom style="medium"/>
    </border>
    <border>
      <left/>
      <right/>
      <top/>
      <bottom style="medium"/>
    </border>
    <border>
      <left/>
      <right style="medium"/>
      <top/>
      <bottom style="medium"/>
    </border>
    <border>
      <left style="thin"/>
      <right/>
      <top style="medium"/>
      <bottom style="medium"/>
    </border>
    <border>
      <left style="medium"/>
      <right/>
      <top style="medium"/>
      <bottom/>
    </border>
    <border>
      <left style="medium"/>
      <right style="medium"/>
      <top style="medium"/>
      <bottom style="thin"/>
    </border>
    <border>
      <left style="medium"/>
      <right style="thin"/>
      <top style="thin"/>
      <bottom style="medium"/>
    </border>
    <border>
      <left style="medium"/>
      <right/>
      <top style="medium"/>
      <bottom style="medium"/>
    </border>
    <border>
      <left style="thin"/>
      <right style="medium"/>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Border="0" applyProtection="0">
      <alignment/>
    </xf>
    <xf numFmtId="165" fontId="0" fillId="0" borderId="0" applyBorder="0" applyProtection="0">
      <alignment/>
    </xf>
    <xf numFmtId="9" fontId="1" fillId="0" borderId="0" applyBorder="0" applyProtection="0">
      <alignment/>
    </xf>
    <xf numFmtId="0" fontId="14" fillId="2" borderId="0">
      <alignment/>
      <protection/>
    </xf>
  </cellStyleXfs>
  <cellXfs count="289">
    <xf numFmtId="0" fontId="0" fillId="0" borderId="0" xfId="0"/>
    <xf numFmtId="0" fontId="2" fillId="0" borderId="0" xfId="0" applyFont="1" applyAlignment="1">
      <alignment horizontal="center"/>
    </xf>
    <xf numFmtId="0" fontId="2" fillId="0" borderId="0" xfId="0" applyFont="1"/>
    <xf numFmtId="2" fontId="2" fillId="3" borderId="0" xfId="0" applyNumberFormat="1" applyFont="1" applyFill="1" applyAlignment="1">
      <alignment vertical="center"/>
    </xf>
    <xf numFmtId="0" fontId="2" fillId="0" borderId="0" xfId="0" applyFont="1" applyAlignment="1">
      <alignment horizontal="center" vertical="center"/>
    </xf>
    <xf numFmtId="166" fontId="2" fillId="0" borderId="0" xfId="21" applyNumberFormat="1" applyFont="1" applyBorder="1" applyAlignment="1" applyProtection="1">
      <alignment horizontal="right" vertical="center"/>
      <protection/>
    </xf>
    <xf numFmtId="0" fontId="2" fillId="0" borderId="0" xfId="0" applyFont="1" applyAlignment="1">
      <alignment vertical="center"/>
    </xf>
    <xf numFmtId="0" fontId="2"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2" fontId="5" fillId="3" borderId="1" xfId="0" applyNumberFormat="1" applyFont="1" applyFill="1" applyBorder="1" applyAlignment="1">
      <alignment horizontal="center" vertical="center" wrapText="1"/>
    </xf>
    <xf numFmtId="166" fontId="5" fillId="0" borderId="1" xfId="21" applyNumberFormat="1" applyFont="1" applyBorder="1" applyAlignment="1" applyProtection="1">
      <alignment horizontal="right" vertical="center"/>
      <protection/>
    </xf>
    <xf numFmtId="0" fontId="5" fillId="0" borderId="0" xfId="0" applyFont="1" applyAlignment="1">
      <alignment vertical="center"/>
    </xf>
    <xf numFmtId="0" fontId="5" fillId="0" borderId="1" xfId="0" applyFont="1" applyBorder="1" applyAlignment="1">
      <alignment vertical="center" wrapText="1"/>
    </xf>
    <xf numFmtId="0" fontId="2" fillId="0" borderId="1" xfId="0" applyFont="1" applyBorder="1" applyAlignment="1">
      <alignment horizontal="center" vertical="center"/>
    </xf>
    <xf numFmtId="0" fontId="6" fillId="0" borderId="1" xfId="0" applyFont="1" applyBorder="1" applyAlignment="1">
      <alignment vertical="center" wrapText="1"/>
    </xf>
    <xf numFmtId="2" fontId="2" fillId="0" borderId="1" xfId="0" applyNumberFormat="1" applyFont="1" applyBorder="1" applyAlignment="1">
      <alignment vertical="center"/>
    </xf>
    <xf numFmtId="166" fontId="2" fillId="0" borderId="1" xfId="21" applyNumberFormat="1" applyFont="1" applyBorder="1" applyAlignment="1" applyProtection="1">
      <alignment horizontal="right" vertical="center"/>
      <protection/>
    </xf>
    <xf numFmtId="167" fontId="2" fillId="0" borderId="1" xfId="0" applyNumberFormat="1" applyFont="1" applyBorder="1" applyAlignment="1">
      <alignment horizontal="distributed" vertical="center"/>
    </xf>
    <xf numFmtId="0" fontId="5" fillId="4" borderId="1" xfId="0" applyFont="1" applyFill="1" applyBorder="1" applyAlignment="1">
      <alignment horizontal="center" vertical="center"/>
    </xf>
    <xf numFmtId="167" fontId="5" fillId="4" borderId="1" xfId="0" applyNumberFormat="1" applyFont="1" applyFill="1" applyBorder="1" applyAlignment="1">
      <alignment horizontal="distributed" vertical="center"/>
    </xf>
    <xf numFmtId="0" fontId="2" fillId="0" borderId="1" xfId="0" applyFont="1" applyBorder="1" applyAlignment="1">
      <alignment vertical="center" wrapText="1"/>
    </xf>
    <xf numFmtId="2"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3" borderId="0" xfId="0" applyFont="1" applyFill="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2" fontId="2" fillId="3" borderId="1" xfId="0" applyNumberFormat="1" applyFont="1" applyFill="1" applyBorder="1" applyAlignment="1">
      <alignment vertical="center" wrapText="1"/>
    </xf>
    <xf numFmtId="0" fontId="2" fillId="3" borderId="1" xfId="0" applyFont="1" applyFill="1" applyBorder="1" applyAlignment="1">
      <alignment horizontal="center" vertical="center" wrapText="1"/>
    </xf>
    <xf numFmtId="166" fontId="2" fillId="3" borderId="1" xfId="21" applyNumberFormat="1" applyFont="1" applyFill="1" applyBorder="1" applyAlignment="1" applyProtection="1">
      <alignment horizontal="right" vertical="center"/>
      <protection/>
    </xf>
    <xf numFmtId="0" fontId="5" fillId="3" borderId="1" xfId="0" applyFont="1" applyFill="1" applyBorder="1" applyAlignment="1">
      <alignment vertical="center" wrapText="1"/>
    </xf>
    <xf numFmtId="2" fontId="2" fillId="3" borderId="1" xfId="0" applyNumberFormat="1" applyFont="1" applyFill="1" applyBorder="1" applyAlignment="1">
      <alignment vertical="center"/>
    </xf>
    <xf numFmtId="0" fontId="6" fillId="3" borderId="1" xfId="0" applyFont="1" applyFill="1" applyBorder="1" applyAlignment="1">
      <alignment vertical="center" wrapText="1"/>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Alignment="1">
      <alignment vertical="center"/>
    </xf>
    <xf numFmtId="2" fontId="5" fillId="4" borderId="1" xfId="0" applyNumberFormat="1" applyFont="1" applyFill="1" applyBorder="1" applyAlignment="1">
      <alignment vertical="center"/>
    </xf>
    <xf numFmtId="166" fontId="5" fillId="4" borderId="1" xfId="21" applyNumberFormat="1" applyFont="1" applyFill="1" applyBorder="1" applyAlignment="1" applyProtection="1">
      <alignment horizontal="right" vertical="center"/>
      <protection/>
    </xf>
    <xf numFmtId="2" fontId="2" fillId="0" borderId="1" xfId="0" applyNumberFormat="1" applyFont="1" applyBorder="1" applyAlignment="1">
      <alignment horizontal="right"/>
    </xf>
    <xf numFmtId="0" fontId="7" fillId="0" borderId="1" xfId="0" applyFont="1" applyBorder="1" applyAlignment="1">
      <alignment horizontal="center" vertical="center" wrapText="1"/>
    </xf>
    <xf numFmtId="2" fontId="6" fillId="0" borderId="1" xfId="0" applyNumberFormat="1" applyFont="1" applyBorder="1" applyAlignment="1">
      <alignment horizontal="right"/>
    </xf>
    <xf numFmtId="0" fontId="6" fillId="0" borderId="1" xfId="0" applyFont="1" applyBorder="1" applyAlignment="1">
      <alignment horizontal="center"/>
    </xf>
    <xf numFmtId="166" fontId="6" fillId="0" borderId="1" xfId="21" applyNumberFormat="1" applyFont="1" applyBorder="1" applyAlignment="1" applyProtection="1">
      <alignment horizontal="right" vertical="center"/>
      <protection/>
    </xf>
    <xf numFmtId="168" fontId="2" fillId="0" borderId="0" xfId="0" applyNumberFormat="1" applyFont="1" applyAlignment="1">
      <alignment vertical="center"/>
    </xf>
    <xf numFmtId="167" fontId="2" fillId="3" borderId="1" xfId="0" applyNumberFormat="1" applyFont="1" applyFill="1" applyBorder="1" applyAlignment="1">
      <alignment horizontal="distributed" vertical="center"/>
    </xf>
    <xf numFmtId="0" fontId="6" fillId="0" borderId="1" xfId="0" applyFont="1" applyBorder="1" applyAlignment="1">
      <alignment horizontal="center" vertical="center"/>
    </xf>
    <xf numFmtId="2" fontId="2" fillId="4" borderId="1" xfId="0" applyNumberFormat="1" applyFont="1" applyFill="1" applyBorder="1" applyAlignment="1">
      <alignment vertical="center"/>
    </xf>
    <xf numFmtId="0" fontId="2" fillId="4" borderId="1" xfId="0" applyFont="1" applyFill="1" applyBorder="1" applyAlignment="1">
      <alignment horizontal="center" vertical="center"/>
    </xf>
    <xf numFmtId="166" fontId="2" fillId="4" borderId="1" xfId="21" applyNumberFormat="1" applyFont="1" applyFill="1" applyBorder="1" applyAlignment="1" applyProtection="1">
      <alignment horizontal="right" vertical="center"/>
      <protection/>
    </xf>
    <xf numFmtId="167" fontId="2" fillId="4" borderId="1" xfId="0" applyNumberFormat="1" applyFont="1" applyFill="1" applyBorder="1" applyAlignment="1">
      <alignment horizontal="distributed" vertical="center"/>
    </xf>
    <xf numFmtId="0" fontId="5" fillId="4" borderId="1" xfId="0" applyFont="1" applyFill="1" applyBorder="1" applyAlignment="1">
      <alignment vertical="center"/>
    </xf>
    <xf numFmtId="164" fontId="5" fillId="4" borderId="1" xfId="20" applyFont="1" applyFill="1" applyBorder="1" applyAlignment="1" applyProtection="1">
      <alignment horizontal="distributed" vertical="center"/>
      <protection/>
    </xf>
    <xf numFmtId="4" fontId="2" fillId="0" borderId="0" xfId="21" applyNumberFormat="1" applyFont="1" applyBorder="1" applyAlignment="1" applyProtection="1">
      <alignment horizontal="right" vertical="center"/>
      <protection/>
    </xf>
    <xf numFmtId="164" fontId="2" fillId="0" borderId="0" xfId="0" applyNumberFormat="1" applyFont="1" applyAlignment="1">
      <alignment vertical="center"/>
    </xf>
    <xf numFmtId="166" fontId="2" fillId="0" borderId="0" xfId="21" applyNumberFormat="1" applyFont="1" applyBorder="1" applyAlignment="1" applyProtection="1">
      <alignment vertical="center"/>
      <protection/>
    </xf>
    <xf numFmtId="0" fontId="1" fillId="0" borderId="2" xfId="0" applyFont="1" applyBorder="1"/>
    <xf numFmtId="0" fontId="1" fillId="0" borderId="1" xfId="0" applyFont="1" applyBorder="1"/>
    <xf numFmtId="0" fontId="1" fillId="0" borderId="3" xfId="0" applyFont="1" applyBorder="1"/>
    <xf numFmtId="0" fontId="9" fillId="5" borderId="2" xfId="0" applyFont="1" applyFill="1" applyBorder="1"/>
    <xf numFmtId="0" fontId="9" fillId="5" borderId="1" xfId="0" applyFont="1" applyFill="1" applyBorder="1" applyAlignment="1">
      <alignment horizontal="center"/>
    </xf>
    <xf numFmtId="0" fontId="9" fillId="5" borderId="3" xfId="0" applyFont="1" applyFill="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9" fillId="0" borderId="2" xfId="0" applyFont="1" applyBorder="1"/>
    <xf numFmtId="10" fontId="9" fillId="0" borderId="3" xfId="0" applyNumberFormat="1" applyFont="1" applyBorder="1" applyAlignment="1" applyProtection="1">
      <alignment/>
      <protection/>
    </xf>
    <xf numFmtId="10" fontId="10" fillId="0" borderId="1" xfId="0" applyNumberFormat="1" applyFont="1" applyBorder="1" applyAlignment="1" applyProtection="1">
      <alignment horizontal="center"/>
      <protection/>
    </xf>
    <xf numFmtId="10" fontId="10" fillId="0" borderId="3" xfId="0" applyNumberFormat="1" applyFont="1" applyBorder="1" applyAlignment="1" applyProtection="1">
      <alignment horizontal="center"/>
      <protection/>
    </xf>
    <xf numFmtId="0" fontId="9" fillId="0" borderId="1" xfId="0" applyFont="1" applyBorder="1"/>
    <xf numFmtId="10" fontId="9" fillId="0" borderId="1" xfId="0" applyNumberFormat="1" applyFont="1" applyBorder="1" applyAlignment="1" applyProtection="1">
      <alignment horizontal="center"/>
      <protection/>
    </xf>
    <xf numFmtId="10" fontId="9" fillId="0" borderId="3" xfId="0" applyNumberFormat="1" applyFont="1" applyBorder="1" applyAlignment="1" applyProtection="1">
      <alignment horizontal="center"/>
      <protection/>
    </xf>
    <xf numFmtId="0" fontId="1" fillId="0" borderId="1" xfId="0" applyFont="1" applyBorder="1" applyAlignment="1">
      <alignment horizontal="justify"/>
    </xf>
    <xf numFmtId="0" fontId="1" fillId="0" borderId="2" xfId="0" applyFont="1" applyBorder="1" applyAlignment="1">
      <alignment vertical="center"/>
    </xf>
    <xf numFmtId="10" fontId="10" fillId="0" borderId="1" xfId="0" applyNumberFormat="1" applyFont="1" applyBorder="1" applyAlignment="1" applyProtection="1">
      <alignment horizontal="center" vertical="center"/>
      <protection/>
    </xf>
    <xf numFmtId="10" fontId="10" fillId="0" borderId="3" xfId="0" applyNumberFormat="1" applyFont="1" applyBorder="1" applyAlignment="1" applyProtection="1">
      <alignment horizontal="center" vertical="center"/>
      <protection/>
    </xf>
    <xf numFmtId="10" fontId="9" fillId="0" borderId="1" xfId="0" applyNumberFormat="1" applyFont="1" applyBorder="1" applyAlignment="1">
      <alignment horizontal="center"/>
    </xf>
    <xf numFmtId="10" fontId="9" fillId="0" borderId="3" xfId="0" applyNumberFormat="1" applyFont="1" applyBorder="1" applyAlignment="1">
      <alignment horizontal="center"/>
    </xf>
    <xf numFmtId="10" fontId="9" fillId="5" borderId="4" xfId="0" applyNumberFormat="1" applyFont="1" applyFill="1" applyBorder="1" applyAlignment="1">
      <alignment horizontal="center"/>
    </xf>
    <xf numFmtId="10" fontId="9" fillId="5" borderId="5" xfId="0" applyNumberFormat="1" applyFont="1" applyFill="1" applyBorder="1" applyAlignment="1">
      <alignment horizontal="center"/>
    </xf>
    <xf numFmtId="0" fontId="11" fillId="0" borderId="0" xfId="0" applyFont="1"/>
    <xf numFmtId="0" fontId="12" fillId="0" borderId="0" xfId="0" applyFont="1"/>
    <xf numFmtId="0" fontId="13" fillId="3" borderId="6" xfId="23" applyFont="1" applyFill="1" applyBorder="1" applyAlignment="1">
      <alignment horizontal="center" vertical="center" wrapText="1"/>
      <protection/>
    </xf>
    <xf numFmtId="0" fontId="13" fillId="3" borderId="7" xfId="23" applyFont="1" applyFill="1" applyBorder="1" applyAlignment="1">
      <alignment horizontal="center" vertical="center" wrapText="1"/>
      <protection/>
    </xf>
    <xf numFmtId="0" fontId="15" fillId="3" borderId="7" xfId="23" applyFont="1" applyFill="1" applyBorder="1" applyAlignment="1">
      <alignment horizontal="left" vertical="center" wrapText="1"/>
      <protection/>
    </xf>
    <xf numFmtId="4" fontId="13" fillId="3" borderId="7" xfId="23" applyNumberFormat="1" applyFont="1" applyFill="1" applyBorder="1" applyAlignment="1">
      <alignment horizontal="center" vertical="center" wrapText="1"/>
      <protection/>
    </xf>
    <xf numFmtId="167" fontId="16" fillId="4" borderId="8" xfId="0" applyNumberFormat="1" applyFont="1" applyFill="1" applyBorder="1" applyAlignment="1">
      <alignment vertical="center"/>
    </xf>
    <xf numFmtId="0" fontId="17" fillId="0" borderId="0" xfId="0" applyFont="1"/>
    <xf numFmtId="0" fontId="18" fillId="3" borderId="9" xfId="23" applyFont="1" applyFill="1" applyBorder="1" applyAlignment="1">
      <alignment horizontal="center" vertical="center" wrapText="1"/>
      <protection/>
    </xf>
    <xf numFmtId="0" fontId="18" fillId="3" borderId="9" xfId="23" applyFont="1" applyFill="1" applyBorder="1" applyAlignment="1">
      <alignment horizontal="left" vertical="center" wrapText="1"/>
      <protection/>
    </xf>
    <xf numFmtId="4" fontId="18" fillId="3" borderId="9" xfId="23" applyNumberFormat="1" applyFont="1" applyFill="1" applyBorder="1" applyAlignment="1">
      <alignment horizontal="center" vertical="center" wrapText="1"/>
      <protection/>
    </xf>
    <xf numFmtId="167" fontId="0" fillId="0" borderId="9" xfId="0" applyNumberFormat="1" applyBorder="1" applyAlignment="1">
      <alignment vertical="center"/>
    </xf>
    <xf numFmtId="0" fontId="18" fillId="3" borderId="1" xfId="23" applyFont="1" applyFill="1" applyBorder="1" applyAlignment="1">
      <alignment horizontal="center" vertical="center" wrapText="1"/>
      <protection/>
    </xf>
    <xf numFmtId="0" fontId="19" fillId="3" borderId="1" xfId="23" applyFont="1" applyFill="1" applyBorder="1" applyAlignment="1">
      <alignment horizontal="center" vertical="center" wrapText="1"/>
      <protection/>
    </xf>
    <xf numFmtId="0" fontId="19" fillId="3" borderId="1" xfId="23" applyFont="1" applyFill="1" applyBorder="1" applyAlignment="1">
      <alignment horizontal="left" vertical="center" wrapText="1"/>
      <protection/>
    </xf>
    <xf numFmtId="4" fontId="18" fillId="3" borderId="1" xfId="23" applyNumberFormat="1" applyFont="1" applyFill="1" applyBorder="1" applyAlignment="1">
      <alignment horizontal="center" vertical="center" wrapText="1"/>
      <protection/>
    </xf>
    <xf numFmtId="167" fontId="0" fillId="0" borderId="1" xfId="0" applyNumberFormat="1" applyBorder="1" applyAlignment="1">
      <alignment vertical="center"/>
    </xf>
    <xf numFmtId="0" fontId="18" fillId="3" borderId="1" xfId="23" applyFont="1" applyFill="1" applyBorder="1" applyAlignment="1">
      <alignment horizontal="left" vertical="center" wrapText="1"/>
      <protection/>
    </xf>
    <xf numFmtId="0" fontId="18" fillId="0" borderId="1" xfId="23" applyFont="1" applyFill="1" applyBorder="1" applyAlignment="1">
      <alignment horizontal="center" vertical="center" wrapText="1"/>
      <protection/>
    </xf>
    <xf numFmtId="0" fontId="20" fillId="0" borderId="1" xfId="23" applyFont="1" applyFill="1" applyBorder="1" applyAlignment="1">
      <alignment horizontal="left" vertical="center" wrapText="1"/>
      <protection/>
    </xf>
    <xf numFmtId="4" fontId="18" fillId="0" borderId="1" xfId="23" applyNumberFormat="1" applyFont="1" applyFill="1" applyBorder="1" applyAlignment="1">
      <alignment horizontal="center" vertical="center" wrapText="1"/>
      <protection/>
    </xf>
    <xf numFmtId="0" fontId="21" fillId="0" borderId="0" xfId="0" applyFont="1"/>
    <xf numFmtId="0" fontId="13" fillId="3" borderId="1" xfId="23" applyFont="1" applyFill="1" applyBorder="1" applyAlignment="1">
      <alignment horizontal="center" vertical="center" wrapText="1"/>
      <protection/>
    </xf>
    <xf numFmtId="0" fontId="22" fillId="3" borderId="1" xfId="23" applyFont="1" applyFill="1" applyBorder="1" applyAlignment="1">
      <alignment horizontal="left" vertical="center" wrapText="1"/>
      <protection/>
    </xf>
    <xf numFmtId="4" fontId="13" fillId="3" borderId="1" xfId="23" applyNumberFormat="1" applyFont="1" applyFill="1" applyBorder="1" applyAlignment="1">
      <alignment horizontal="center" vertical="center" wrapText="1"/>
      <protection/>
    </xf>
    <xf numFmtId="167" fontId="16" fillId="0" borderId="1" xfId="0" applyNumberFormat="1" applyFont="1" applyBorder="1" applyAlignment="1">
      <alignment vertical="center"/>
    </xf>
    <xf numFmtId="0" fontId="15" fillId="3" borderId="1" xfId="23" applyFont="1" applyFill="1" applyBorder="1" applyAlignment="1">
      <alignment horizontal="left" vertical="center" wrapText="1"/>
      <protection/>
    </xf>
    <xf numFmtId="0" fontId="17" fillId="0" borderId="1" xfId="0" applyFont="1" applyBorder="1" applyAlignment="1">
      <alignment horizontal="center" vertical="center"/>
    </xf>
    <xf numFmtId="0" fontId="23" fillId="0" borderId="1" xfId="0" applyFont="1" applyBorder="1" applyAlignment="1">
      <alignment wrapText="1"/>
    </xf>
    <xf numFmtId="4" fontId="24" fillId="0" borderId="1" xfId="23" applyNumberFormat="1" applyFont="1" applyFill="1" applyBorder="1" applyAlignment="1">
      <alignment horizontal="center" vertical="center" wrapText="1"/>
      <protection/>
    </xf>
    <xf numFmtId="164" fontId="24" fillId="0" borderId="1" xfId="20" applyFont="1" applyBorder="1" applyAlignment="1" applyProtection="1">
      <alignment horizontal="center" vertical="center"/>
      <protection/>
    </xf>
    <xf numFmtId="0" fontId="24" fillId="0" borderId="1" xfId="0" applyFont="1" applyBorder="1" applyAlignment="1">
      <alignment horizontal="center" vertical="center"/>
    </xf>
    <xf numFmtId="0" fontId="0" fillId="0" borderId="1" xfId="0" applyFont="1" applyBorder="1" applyAlignment="1">
      <alignment horizontal="center"/>
    </xf>
    <xf numFmtId="0" fontId="25" fillId="0" borderId="1" xfId="0" applyFont="1" applyBorder="1" applyAlignment="1">
      <alignment horizontal="center"/>
    </xf>
    <xf numFmtId="0" fontId="25" fillId="0" borderId="1" xfId="0" applyFont="1" applyBorder="1" applyAlignment="1">
      <alignment wrapText="1"/>
    </xf>
    <xf numFmtId="164" fontId="0" fillId="0" borderId="1" xfId="20" applyFont="1" applyBorder="1" applyAlignment="1" applyProtection="1">
      <alignment/>
      <protection/>
    </xf>
    <xf numFmtId="164" fontId="17" fillId="0" borderId="1" xfId="20" applyFont="1" applyBorder="1" applyAlignment="1" applyProtection="1">
      <alignment/>
      <protection/>
    </xf>
    <xf numFmtId="164" fontId="25" fillId="0" borderId="1" xfId="20" applyFont="1" applyBorder="1" applyAlignment="1" applyProtection="1">
      <alignment horizontal="center"/>
      <protection/>
    </xf>
    <xf numFmtId="0" fontId="0" fillId="0" borderId="0" xfId="0" applyAlignment="1">
      <alignment horizontal="center"/>
    </xf>
    <xf numFmtId="164" fontId="16" fillId="0" borderId="9" xfId="0" applyNumberFormat="1" applyFont="1" applyBorder="1"/>
    <xf numFmtId="0" fontId="26" fillId="0" borderId="1" xfId="0" applyFont="1" applyBorder="1" applyAlignment="1">
      <alignment horizontal="left"/>
    </xf>
    <xf numFmtId="0" fontId="26" fillId="0" borderId="1" xfId="0" applyFont="1" applyBorder="1" applyAlignment="1">
      <alignment horizontal="right"/>
    </xf>
    <xf numFmtId="0" fontId="0" fillId="0" borderId="1" xfId="0" applyFont="1" applyBorder="1"/>
    <xf numFmtId="164" fontId="16" fillId="0" borderId="1" xfId="0" applyNumberFormat="1" applyFont="1" applyBorder="1"/>
    <xf numFmtId="0" fontId="26" fillId="0" borderId="0" xfId="0" applyFont="1" applyBorder="1" applyAlignment="1">
      <alignment horizontal="left"/>
    </xf>
    <xf numFmtId="0" fontId="26" fillId="0" borderId="0" xfId="0" applyFont="1" applyBorder="1" applyAlignment="1">
      <alignment horizontal="right"/>
    </xf>
    <xf numFmtId="164" fontId="24" fillId="0" borderId="1" xfId="20" applyFont="1" applyBorder="1" applyAlignment="1" applyProtection="1">
      <alignment/>
      <protection/>
    </xf>
    <xf numFmtId="0" fontId="0" fillId="0" borderId="0" xfId="0" applyBorder="1"/>
    <xf numFmtId="0" fontId="18" fillId="0" borderId="1" xfId="23" applyFont="1" applyFill="1" applyBorder="1" applyAlignment="1">
      <alignment horizontal="left" vertical="center" wrapText="1"/>
      <protection/>
    </xf>
    <xf numFmtId="164" fontId="17" fillId="0" borderId="0" xfId="20" applyFont="1" applyBorder="1" applyAlignment="1" applyProtection="1">
      <alignment/>
      <protection/>
    </xf>
    <xf numFmtId="164" fontId="24" fillId="0" borderId="1" xfId="0" applyNumberFormat="1" applyFont="1" applyBorder="1"/>
    <xf numFmtId="4" fontId="24" fillId="3" borderId="1" xfId="23" applyNumberFormat="1" applyFont="1" applyFill="1" applyBorder="1" applyAlignment="1">
      <alignment horizontal="center" vertical="center" wrapText="1"/>
      <protection/>
    </xf>
    <xf numFmtId="164" fontId="17" fillId="0" borderId="0" xfId="20" applyFont="1" applyBorder="1" applyAlignment="1" applyProtection="1">
      <alignment horizontal="center"/>
      <protection/>
    </xf>
    <xf numFmtId="4" fontId="0" fillId="0" borderId="0" xfId="0" applyNumberFormat="1"/>
    <xf numFmtId="0" fontId="16" fillId="0" borderId="1" xfId="0" applyFont="1" applyBorder="1" applyAlignment="1">
      <alignment horizontal="center"/>
    </xf>
    <xf numFmtId="164" fontId="16" fillId="0" borderId="1" xfId="20" applyFont="1" applyBorder="1" applyAlignment="1" applyProtection="1">
      <alignment/>
      <protection/>
    </xf>
    <xf numFmtId="0" fontId="26" fillId="0" borderId="0" xfId="23" applyFont="1" applyFill="1" applyAlignment="1">
      <alignment horizontal="left"/>
      <protection/>
    </xf>
    <xf numFmtId="0" fontId="26" fillId="0" borderId="1" xfId="23" applyFont="1" applyFill="1" applyBorder="1" applyAlignment="1">
      <alignment horizontal="left"/>
      <protection/>
    </xf>
    <xf numFmtId="2" fontId="26" fillId="0" borderId="1" xfId="23" applyNumberFormat="1" applyFont="1" applyFill="1" applyBorder="1" applyAlignment="1">
      <alignment horizontal="right"/>
      <protection/>
    </xf>
    <xf numFmtId="0" fontId="26" fillId="0" borderId="0" xfId="0" applyFont="1" applyAlignment="1">
      <alignment horizontal="left"/>
    </xf>
    <xf numFmtId="0" fontId="26" fillId="0" borderId="0" xfId="0" applyFont="1" applyAlignment="1">
      <alignment horizontal="right"/>
    </xf>
    <xf numFmtId="2" fontId="27" fillId="0" borderId="1" xfId="23" applyNumberFormat="1" applyFont="1" applyFill="1" applyBorder="1" applyAlignment="1">
      <alignment horizontal="right"/>
      <protection/>
    </xf>
    <xf numFmtId="2" fontId="26" fillId="0" borderId="1" xfId="0" applyNumberFormat="1" applyFont="1" applyBorder="1" applyAlignment="1">
      <alignment horizontal="right"/>
    </xf>
    <xf numFmtId="2" fontId="27" fillId="0" borderId="1" xfId="0" applyNumberFormat="1" applyFont="1" applyBorder="1" applyAlignment="1">
      <alignment horizontal="right"/>
    </xf>
    <xf numFmtId="0" fontId="28" fillId="0" borderId="0" xfId="0" applyFont="1"/>
    <xf numFmtId="2" fontId="29" fillId="0" borderId="10" xfId="0" applyNumberFormat="1" applyFont="1" applyBorder="1" applyAlignment="1">
      <alignment horizontal="center" vertical="center"/>
    </xf>
    <xf numFmtId="0" fontId="30" fillId="0" borderId="0" xfId="0" applyFont="1" applyAlignment="1">
      <alignment horizontal="center"/>
    </xf>
    <xf numFmtId="0" fontId="30" fillId="0" borderId="10" xfId="0" applyFont="1" applyBorder="1" applyAlignment="1">
      <alignment horizontal="center"/>
    </xf>
    <xf numFmtId="0" fontId="30" fillId="0" borderId="10" xfId="0" applyFont="1" applyBorder="1" applyAlignment="1">
      <alignment horizontal="center" wrapText="1"/>
    </xf>
    <xf numFmtId="0" fontId="28" fillId="0" borderId="10" xfId="0" applyFont="1" applyBorder="1" applyAlignment="1">
      <alignment horizontal="center"/>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0" xfId="0" applyFont="1" applyBorder="1" applyAlignment="1">
      <alignment horizontal="center" vertical="center"/>
    </xf>
    <xf numFmtId="0" fontId="28" fillId="0" borderId="10" xfId="0" applyFont="1" applyBorder="1" applyAlignment="1">
      <alignment horizontal="center" wrapText="1"/>
    </xf>
    <xf numFmtId="0" fontId="28" fillId="0" borderId="10" xfId="0" applyFont="1" applyBorder="1"/>
    <xf numFmtId="2" fontId="28" fillId="0" borderId="10" xfId="0" applyNumberFormat="1" applyFont="1" applyBorder="1"/>
    <xf numFmtId="0" fontId="28" fillId="0" borderId="10" xfId="0" applyFont="1" applyBorder="1" applyAlignment="1">
      <alignment horizontal="left" wrapText="1"/>
    </xf>
    <xf numFmtId="0" fontId="28"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31" fillId="0" borderId="10" xfId="0" applyFont="1" applyBorder="1" applyAlignment="1">
      <alignment horizontal="left" vertical="center" wrapText="1"/>
    </xf>
    <xf numFmtId="0" fontId="28" fillId="0" borderId="1" xfId="0" applyFont="1" applyBorder="1" applyAlignment="1">
      <alignment horizontal="left" vertical="center" wrapText="1"/>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2" fontId="28" fillId="0" borderId="10" xfId="0" applyNumberFormat="1" applyFont="1" applyBorder="1" applyAlignment="1">
      <alignment horizontal="center" vertical="center"/>
    </xf>
    <xf numFmtId="0" fontId="33" fillId="6" borderId="0" xfId="0" applyFont="1" applyFill="1"/>
    <xf numFmtId="0" fontId="33" fillId="3" borderId="0" xfId="0" applyFont="1" applyFill="1"/>
    <xf numFmtId="0" fontId="16" fillId="4" borderId="11" xfId="0" applyFont="1" applyFill="1" applyBorder="1" applyAlignment="1">
      <alignment horizontal="center"/>
    </xf>
    <xf numFmtId="0" fontId="16" fillId="4" borderId="6" xfId="0" applyFont="1" applyFill="1" applyBorder="1"/>
    <xf numFmtId="0" fontId="16" fillId="4" borderId="7" xfId="0" applyFont="1" applyFill="1" applyBorder="1"/>
    <xf numFmtId="0" fontId="16" fillId="4" borderId="11" xfId="0" applyFont="1" applyFill="1" applyBorder="1"/>
    <xf numFmtId="0" fontId="34" fillId="6" borderId="0" xfId="0" applyFont="1" applyFill="1"/>
    <xf numFmtId="0" fontId="33" fillId="6" borderId="12" xfId="0" applyFont="1" applyFill="1" applyBorder="1"/>
    <xf numFmtId="0" fontId="33" fillId="6" borderId="13" xfId="0" applyFont="1" applyFill="1" applyBorder="1"/>
    <xf numFmtId="0" fontId="0" fillId="0" borderId="14" xfId="0" applyFont="1" applyBorder="1"/>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10" fontId="0" fillId="0" borderId="11" xfId="0" applyNumberFormat="1" applyBorder="1" applyAlignment="1">
      <alignment horizontal="center"/>
    </xf>
    <xf numFmtId="10" fontId="0" fillId="0" borderId="6" xfId="0" applyNumberFormat="1" applyBorder="1" applyAlignment="1">
      <alignment horizontal="center"/>
    </xf>
    <xf numFmtId="10" fontId="0" fillId="0" borderId="7" xfId="0" applyNumberFormat="1" applyBorder="1" applyAlignment="1">
      <alignment horizontal="center"/>
    </xf>
    <xf numFmtId="0" fontId="0" fillId="0" borderId="0" xfId="0" applyAlignment="1">
      <alignment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0" fillId="7" borderId="12" xfId="0" applyFill="1" applyBorder="1"/>
    <xf numFmtId="0" fontId="0" fillId="7" borderId="13" xfId="0" applyFill="1" applyBorder="1"/>
    <xf numFmtId="0" fontId="0" fillId="3" borderId="18" xfId="0" applyFont="1" applyFill="1" applyBorder="1" applyAlignment="1">
      <alignment vertical="center" wrapText="1"/>
    </xf>
    <xf numFmtId="10" fontId="0" fillId="0" borderId="19" xfId="0" applyNumberFormat="1" applyBorder="1" applyAlignment="1">
      <alignment horizontal="center" vertical="center"/>
    </xf>
    <xf numFmtId="10" fontId="0" fillId="0" borderId="15" xfId="0" applyNumberFormat="1" applyBorder="1" applyAlignment="1">
      <alignment horizontal="center" vertical="center"/>
    </xf>
    <xf numFmtId="10" fontId="0" fillId="0" borderId="13" xfId="0" applyNumberFormat="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0" fillId="7" borderId="0" xfId="0" applyFill="1" applyBorder="1"/>
    <xf numFmtId="0" fontId="0" fillId="7" borderId="22" xfId="0" applyFill="1" applyBorder="1"/>
    <xf numFmtId="0" fontId="0" fillId="3" borderId="18" xfId="0" applyFont="1" applyFill="1" applyBorder="1" applyAlignment="1">
      <alignment wrapText="1"/>
    </xf>
    <xf numFmtId="0" fontId="9" fillId="0" borderId="23" xfId="0" applyFont="1" applyBorder="1" applyAlignment="1">
      <alignment horizontal="center" vertical="center"/>
    </xf>
    <xf numFmtId="0" fontId="0" fillId="0" borderId="24" xfId="0"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0" fillId="0" borderId="6" xfId="0" applyBorder="1" applyAlignment="1">
      <alignment horizontal="center"/>
    </xf>
    <xf numFmtId="0" fontId="9" fillId="4" borderId="23" xfId="0" applyFont="1" applyFill="1" applyBorder="1" applyAlignment="1">
      <alignment horizontal="center" vertical="center"/>
    </xf>
    <xf numFmtId="0" fontId="9" fillId="4" borderId="24" xfId="0" applyFont="1" applyFill="1" applyBorder="1" applyAlignment="1">
      <alignment vertical="center"/>
    </xf>
    <xf numFmtId="164" fontId="9" fillId="4" borderId="24" xfId="0" applyNumberFormat="1" applyFont="1" applyFill="1" applyBorder="1" applyAlignment="1">
      <alignment horizontal="right" vertical="center"/>
    </xf>
    <xf numFmtId="164" fontId="9" fillId="4" borderId="25" xfId="0" applyNumberFormat="1" applyFont="1" applyFill="1" applyBorder="1" applyAlignment="1">
      <alignment horizontal="right" vertical="center"/>
    </xf>
    <xf numFmtId="0" fontId="0" fillId="0" borderId="17" xfId="0" applyBorder="1" applyAlignment="1">
      <alignment vertical="center"/>
    </xf>
    <xf numFmtId="4" fontId="9" fillId="0" borderId="0"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vertical="center"/>
    </xf>
    <xf numFmtId="164" fontId="0" fillId="0" borderId="24" xfId="0" applyNumberFormat="1" applyFont="1" applyBorder="1" applyAlignment="1">
      <alignment vertical="center"/>
    </xf>
    <xf numFmtId="164" fontId="0" fillId="0" borderId="25" xfId="0" applyNumberFormat="1" applyFont="1" applyBorder="1" applyAlignment="1">
      <alignment vertical="center"/>
    </xf>
    <xf numFmtId="4" fontId="0" fillId="0" borderId="17" xfId="0" applyNumberFormat="1" applyFont="1" applyBorder="1" applyAlignment="1">
      <alignment vertical="center"/>
    </xf>
    <xf numFmtId="0" fontId="0" fillId="0" borderId="0" xfId="0" applyBorder="1" applyAlignment="1">
      <alignment vertical="center"/>
    </xf>
    <xf numFmtId="0" fontId="16" fillId="4" borderId="6" xfId="0" applyFont="1" applyFill="1" applyBorder="1" applyAlignment="1">
      <alignment horizontal="center"/>
    </xf>
    <xf numFmtId="0" fontId="16" fillId="4" borderId="7" xfId="0" applyFont="1" applyFill="1" applyBorder="1" applyAlignment="1">
      <alignment horizontal="center"/>
    </xf>
    <xf numFmtId="0" fontId="16" fillId="4" borderId="26" xfId="0" applyFont="1" applyFill="1" applyBorder="1" applyAlignment="1">
      <alignment horizontal="center"/>
    </xf>
    <xf numFmtId="10" fontId="0" fillId="0" borderId="26" xfId="0" applyNumberFormat="1" applyBorder="1" applyAlignment="1">
      <alignment horizontal="center"/>
    </xf>
    <xf numFmtId="0" fontId="0" fillId="0" borderId="23" xfId="0" applyFont="1" applyBorder="1" applyAlignment="1">
      <alignment horizontal="right" vertical="center"/>
    </xf>
    <xf numFmtId="164" fontId="9" fillId="4" borderId="24" xfId="0" applyNumberFormat="1" applyFont="1" applyFill="1" applyBorder="1" applyAlignment="1">
      <alignment vertical="center"/>
    </xf>
    <xf numFmtId="164" fontId="9" fillId="4" borderId="25" xfId="0" applyNumberFormat="1" applyFont="1" applyFill="1" applyBorder="1" applyAlignment="1">
      <alignment vertical="center"/>
    </xf>
    <xf numFmtId="10" fontId="0" fillId="0" borderId="12" xfId="0" applyNumberFormat="1" applyBorder="1" applyAlignment="1">
      <alignment horizontal="center" vertical="center"/>
    </xf>
    <xf numFmtId="0" fontId="0" fillId="0" borderId="24" xfId="0" applyFont="1" applyBorder="1" applyAlignment="1">
      <alignment horizontal="left" vertical="center"/>
    </xf>
    <xf numFmtId="0" fontId="0" fillId="7" borderId="27" xfId="0" applyFill="1" applyBorder="1"/>
    <xf numFmtId="0" fontId="0" fillId="7" borderId="28" xfId="0" applyFill="1" applyBorder="1"/>
    <xf numFmtId="164" fontId="0" fillId="0" borderId="24" xfId="0" applyNumberFormat="1" applyBorder="1" applyAlignment="1">
      <alignment horizontal="right" vertical="center"/>
    </xf>
    <xf numFmtId="4" fontId="0" fillId="0" borderId="0" xfId="0" applyNumberFormat="1" applyFont="1" applyBorder="1" applyAlignment="1">
      <alignment vertical="center"/>
    </xf>
    <xf numFmtId="164" fontId="0" fillId="4" borderId="24" xfId="0" applyNumberFormat="1" applyFont="1" applyFill="1" applyBorder="1" applyAlignment="1">
      <alignment vertical="center"/>
    </xf>
    <xf numFmtId="164" fontId="9" fillId="4" borderId="0" xfId="0" applyNumberFormat="1" applyFont="1" applyFill="1" applyBorder="1" applyAlignment="1">
      <alignment vertical="center"/>
    </xf>
    <xf numFmtId="2" fontId="0" fillId="0" borderId="24" xfId="0" applyNumberFormat="1" applyFont="1" applyBorder="1" applyAlignment="1">
      <alignment vertical="center"/>
    </xf>
    <xf numFmtId="2" fontId="0" fillId="0" borderId="25" xfId="0" applyNumberFormat="1" applyFont="1" applyBorder="1" applyAlignment="1">
      <alignment vertical="center"/>
    </xf>
    <xf numFmtId="0" fontId="0" fillId="7" borderId="6" xfId="0" applyFont="1" applyFill="1" applyBorder="1" applyAlignment="1">
      <alignment horizontal="right" vertical="center"/>
    </xf>
    <xf numFmtId="0" fontId="9" fillId="7" borderId="7" xfId="0" applyFont="1" applyFill="1" applyBorder="1" applyAlignment="1">
      <alignment vertical="center"/>
    </xf>
    <xf numFmtId="2" fontId="9" fillId="7" borderId="7" xfId="0" applyNumberFormat="1" applyFont="1" applyFill="1" applyBorder="1" applyAlignment="1">
      <alignment vertical="center"/>
    </xf>
    <xf numFmtId="2" fontId="9" fillId="7" borderId="29" xfId="0" applyNumberFormat="1" applyFont="1" applyFill="1" applyBorder="1" applyAlignment="1">
      <alignment vertical="center"/>
    </xf>
    <xf numFmtId="4" fontId="0" fillId="0" borderId="17" xfId="0" applyNumberFormat="1" applyBorder="1" applyAlignment="1">
      <alignment vertical="center"/>
    </xf>
    <xf numFmtId="0" fontId="35" fillId="0" borderId="0" xfId="0" applyFont="1" applyBorder="1" applyAlignment="1">
      <alignment vertical="center"/>
    </xf>
    <xf numFmtId="164" fontId="35" fillId="0" borderId="0" xfId="0" applyNumberFormat="1" applyFont="1" applyAlignment="1">
      <alignment horizontal="center" vertical="center"/>
    </xf>
    <xf numFmtId="0" fontId="37" fillId="0" borderId="0" xfId="0" applyFont="1" applyAlignment="1">
      <alignment vertical="center"/>
    </xf>
    <xf numFmtId="0" fontId="33" fillId="6" borderId="30" xfId="0" applyFont="1" applyFill="1" applyBorder="1"/>
    <xf numFmtId="0" fontId="0" fillId="0" borderId="0" xfId="0" applyFont="1" applyAlignment="1" applyProtection="1">
      <alignment vertical="center"/>
      <protection/>
    </xf>
    <xf numFmtId="9" fontId="0" fillId="0" borderId="0" xfId="22" applyFont="1" applyBorder="1" applyAlignment="1" applyProtection="1">
      <alignment vertical="center"/>
      <protection/>
    </xf>
    <xf numFmtId="169" fontId="0" fillId="0" borderId="0" xfId="20" applyNumberFormat="1" applyFont="1" applyBorder="1" applyAlignment="1" applyProtection="1">
      <alignment vertical="center"/>
      <protection/>
    </xf>
    <xf numFmtId="0" fontId="0" fillId="8" borderId="1" xfId="0" applyFont="1" applyFill="1" applyBorder="1" applyAlignment="1" applyProtection="1">
      <alignment vertical="center"/>
      <protection/>
    </xf>
    <xf numFmtId="0" fontId="0" fillId="8" borderId="1" xfId="0" applyFont="1" applyFill="1" applyBorder="1" applyAlignment="1" applyProtection="1">
      <alignment horizontal="center" vertical="center"/>
      <protection/>
    </xf>
    <xf numFmtId="0" fontId="26" fillId="0" borderId="1" xfId="0" applyFont="1" applyBorder="1" applyAlignment="1">
      <alignment horizontal="left" vertical="center" wrapText="1"/>
    </xf>
    <xf numFmtId="167" fontId="0" fillId="0" borderId="1" xfId="20" applyNumberFormat="1" applyFont="1" applyBorder="1" applyAlignment="1" applyProtection="1">
      <alignment vertical="center"/>
      <protection/>
    </xf>
    <xf numFmtId="9" fontId="0" fillId="0" borderId="1" xfId="22" applyFont="1" applyBorder="1" applyAlignment="1" applyProtection="1">
      <alignment vertical="center"/>
      <protection/>
    </xf>
    <xf numFmtId="169" fontId="0" fillId="0" borderId="1" xfId="20" applyNumberFormat="1" applyFont="1" applyBorder="1" applyAlignment="1" applyProtection="1">
      <alignment vertical="center"/>
      <protection/>
    </xf>
    <xf numFmtId="167" fontId="0" fillId="8" borderId="1" xfId="0" applyNumberFormat="1" applyFill="1" applyBorder="1" applyAlignment="1" applyProtection="1">
      <alignment vertical="center"/>
      <protection/>
    </xf>
    <xf numFmtId="9" fontId="0" fillId="8" borderId="1" xfId="22" applyFont="1" applyFill="1" applyBorder="1" applyAlignment="1" applyProtection="1">
      <alignment vertical="center"/>
      <protection/>
    </xf>
    <xf numFmtId="169" fontId="0" fillId="8" borderId="1" xfId="20" applyNumberFormat="1" applyFont="1" applyFill="1" applyBorder="1" applyAlignment="1" applyProtection="1">
      <alignment vertical="center"/>
      <protection/>
    </xf>
    <xf numFmtId="0" fontId="0" fillId="8" borderId="1" xfId="0" applyFill="1" applyBorder="1" applyAlignment="1" applyProtection="1">
      <alignment vertical="center"/>
      <protection/>
    </xf>
    <xf numFmtId="0" fontId="5" fillId="4" borderId="1" xfId="0" applyFont="1" applyFill="1" applyBorder="1" applyAlignment="1">
      <alignment horizontal="center" vertical="center"/>
    </xf>
    <xf numFmtId="166" fontId="2" fillId="0" borderId="0" xfId="21" applyNumberFormat="1" applyFont="1" applyBorder="1" applyAlignment="1" applyProtection="1">
      <alignment horizontal="center" vertical="center"/>
      <protection/>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5" fillId="7"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8" fillId="9" borderId="31" xfId="0" applyFont="1" applyFill="1" applyBorder="1" applyAlignment="1">
      <alignment horizontal="center" wrapText="1"/>
    </xf>
    <xf numFmtId="0" fontId="9" fillId="5" borderId="32" xfId="0" applyFont="1" applyFill="1" applyBorder="1" applyAlignment="1">
      <alignment horizontal="center"/>
    </xf>
    <xf numFmtId="0" fontId="30" fillId="0" borderId="0" xfId="0" applyFont="1" applyBorder="1" applyAlignment="1">
      <alignment horizontal="center" vertical="center" wrapText="1"/>
    </xf>
    <xf numFmtId="0" fontId="16" fillId="0" borderId="14" xfId="0" applyFont="1" applyBorder="1" applyAlignment="1">
      <alignment vertical="top" wrapText="1"/>
    </xf>
    <xf numFmtId="0" fontId="35" fillId="0" borderId="0" xfId="0" applyFont="1" applyBorder="1" applyAlignment="1">
      <alignment horizontal="center" vertical="center"/>
    </xf>
    <xf numFmtId="0" fontId="0" fillId="0" borderId="0" xfId="0" applyFont="1" applyBorder="1" applyAlignment="1">
      <alignment vertical="center"/>
    </xf>
    <xf numFmtId="0" fontId="36" fillId="0" borderId="0" xfId="0" applyFont="1" applyBorder="1" applyAlignment="1">
      <alignment horizontal="left" vertical="center"/>
    </xf>
    <xf numFmtId="0" fontId="0" fillId="0" borderId="14" xfId="0" applyFont="1" applyBorder="1" applyAlignment="1">
      <alignment horizontal="left"/>
    </xf>
    <xf numFmtId="0" fontId="0" fillId="3" borderId="14" xfId="0" applyFont="1" applyFill="1" applyBorder="1" applyAlignment="1">
      <alignment horizontal="left" vertical="top" wrapTex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33" xfId="0" applyFont="1" applyFill="1" applyBorder="1" applyAlignment="1">
      <alignment horizontal="center"/>
    </xf>
    <xf numFmtId="0" fontId="16" fillId="4" borderId="14" xfId="0" applyFont="1" applyFill="1" applyBorder="1" applyAlignment="1">
      <alignment horizontal="center"/>
    </xf>
    <xf numFmtId="0" fontId="32" fillId="4" borderId="14" xfId="0" applyFont="1" applyFill="1" applyBorder="1" applyAlignment="1">
      <alignment horizontal="center" vertical="center" wrapText="1"/>
    </xf>
    <xf numFmtId="0" fontId="16" fillId="4" borderId="11" xfId="0" applyFont="1" applyFill="1" applyBorder="1" applyAlignment="1">
      <alignment horizontal="center"/>
    </xf>
    <xf numFmtId="9" fontId="0" fillId="8" borderId="1" xfId="22" applyFont="1" applyFill="1" applyBorder="1" applyAlignment="1" applyProtection="1">
      <alignment horizontal="center" vertical="center"/>
      <protection/>
    </xf>
    <xf numFmtId="0" fontId="22" fillId="0" borderId="1" xfId="0" applyFont="1" applyBorder="1" applyAlignment="1">
      <alignment wrapText="1"/>
    </xf>
    <xf numFmtId="4" fontId="13" fillId="3" borderId="15" xfId="23" applyNumberFormat="1" applyFont="1" applyFill="1" applyBorder="1" applyAlignment="1">
      <alignment horizontal="center" vertical="center" wrapText="1"/>
      <protection/>
    </xf>
    <xf numFmtId="167" fontId="16" fillId="10" borderId="34" xfId="0" applyNumberFormat="1" applyFont="1" applyFill="1" applyBorder="1" applyAlignment="1">
      <alignment vertical="center"/>
    </xf>
    <xf numFmtId="0" fontId="18" fillId="0" borderId="1" xfId="0" applyFont="1" applyBorder="1" applyAlignment="1">
      <alignment horizontal="center" vertical="center"/>
    </xf>
    <xf numFmtId="0" fontId="38" fillId="0" borderId="1" xfId="0" applyFont="1" applyBorder="1" applyAlignment="1">
      <alignment wrapText="1"/>
    </xf>
    <xf numFmtId="0" fontId="0" fillId="0" borderId="1" xfId="0" applyBorder="1" applyAlignment="1">
      <alignment vertical="center"/>
    </xf>
    <xf numFmtId="0" fontId="38" fillId="0" borderId="0" xfId="0" applyFont="1" applyAlignment="1">
      <alignment wrapText="1"/>
    </xf>
    <xf numFmtId="170" fontId="18" fillId="3" borderId="1" xfId="23" applyNumberFormat="1" applyFont="1" applyFill="1" applyBorder="1" applyAlignment="1">
      <alignment horizontal="center" vertical="center" wrapText="1"/>
      <protection/>
    </xf>
    <xf numFmtId="0" fontId="13" fillId="0" borderId="1" xfId="0" applyFont="1" applyBorder="1" applyAlignment="1">
      <alignment horizontal="center" vertical="center"/>
    </xf>
    <xf numFmtId="0" fontId="13" fillId="0" borderId="1" xfId="0" applyFont="1" applyBorder="1" applyAlignment="1">
      <alignment wrapText="1"/>
    </xf>
    <xf numFmtId="167" fontId="16" fillId="10" borderId="1" xfId="0" applyNumberFormat="1" applyFont="1" applyFill="1" applyBorder="1" applyAlignment="1">
      <alignment vertical="center"/>
    </xf>
    <xf numFmtId="164" fontId="0" fillId="0" borderId="1" xfId="20" applyFont="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Separador de milhares" xfId="20"/>
    <cellStyle name="Moeda" xfId="21"/>
    <cellStyle name="Porcentagem" xfId="22"/>
    <cellStyle name="Texto Explicativo" xfId="23"/>
  </cellStyles>
  <dxfs count="42">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border>
        <left style="thin"/>
        <right style="thin"/>
        <top style="thin"/>
        <bottom style="thin"/>
      </border>
    </dxf>
    <dxf>
      <font>
        <b/>
        <i val="0"/>
      </font>
      <fill>
        <patternFill>
          <bgColor rgb="FFC0C0C0"/>
        </patternFill>
      </fill>
      <border>
        <left style="thin"/>
        <right style="thin"/>
        <top style="thin"/>
        <bottom style="thin"/>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Calibri"/>
        <color rgb="FF800000"/>
      </font>
      <numFmt numFmtId="178" formatCode="General"/>
      <fill>
        <patternFill>
          <bgColor rgb="FFFFCC99"/>
        </patternFill>
      </fill>
      <alignment horizontal="general" vertical="bottom" textRotation="0" wrapText="1" shrinkToFit="1" readingOrder="0"/>
      <border>
        <left/>
        <right/>
        <top/>
        <bottom/>
      </border>
      <protection hidden="1" locked="0"/>
    </dxf>
    <dxf>
      <font>
        <b val="0"/>
        <i val="0"/>
        <u val="none"/>
        <strike val="0"/>
        <name val="Calibri"/>
        <color rgb="FF000000"/>
      </font>
      <numFmt numFmtId="164" formatCode="_-* #,##0.00_-;\-* #,##0.00_-;_-* \-??_-;_-@_-"/>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Calibri"/>
        <color rgb="FF800000"/>
      </font>
      <numFmt numFmtId="178" formatCode="General"/>
      <fill>
        <patternFill>
          <bgColor rgb="FFFFCC99"/>
        </patternFill>
      </fill>
      <alignment horizontal="general" vertical="bottom" textRotation="0" wrapText="1" shrinkToFit="1" readingOrder="0"/>
      <border>
        <left/>
        <right/>
        <top/>
        <bottom/>
      </border>
      <protection hidden="1" locked="0"/>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Arial"/>
        <color rgb="FFFFFFFF"/>
      </font>
      <numFmt numFmtId="177" formatCode="0%"/>
      <fill>
        <patternFill>
          <bgColor rgb="FFFFFFFF"/>
        </patternFill>
      </fill>
      <alignment horizontal="general" vertical="bottom" textRotation="0" wrapText="1" shrinkToFit="1" readingOrder="0"/>
      <border/>
    </dxf>
    <dxf>
      <font>
        <b val="0"/>
        <i val="0"/>
        <u val="none"/>
        <strike val="0"/>
        <name val="Calibri"/>
        <color rgb="FF800000"/>
      </font>
      <numFmt numFmtId="178" formatCode="General"/>
      <fill>
        <patternFill>
          <bgColor rgb="FFFFCC99"/>
        </patternFill>
      </fill>
      <alignment horizontal="general" vertical="bottom" textRotation="0" wrapText="1" shrinkToFit="1" readingOrder="0"/>
      <border>
        <left/>
        <right/>
        <top/>
        <bottom/>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A6A6A6"/>
      <rgbColor rgb="00993366"/>
      <rgbColor rgb="00FFFFCC"/>
      <rgbColor rgb="00CCFFFF"/>
      <rgbColor rgb="00660066"/>
      <rgbColor rgb="00FF8080"/>
      <rgbColor rgb="000066CC"/>
      <rgbColor rgb="00D8D8D8"/>
      <rgbColor rgb="00000080"/>
      <rgbColor rgb="00FF00FF"/>
      <rgbColor rgb="00FFFF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66FF"/>
      <rgbColor rgb="0033CCCC"/>
      <rgbColor rgb="0099CC00"/>
      <rgbColor rgb="00FFCC00"/>
      <rgbColor rgb="00FF9900"/>
      <rgbColor rgb="00FF6600"/>
      <rgbColor rgb="00666699"/>
      <rgbColor rgb="00A5A5A5"/>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39</xdr:row>
      <xdr:rowOff>0</xdr:rowOff>
    </xdr:from>
    <xdr:to>
      <xdr:col>3</xdr:col>
      <xdr:colOff>0</xdr:colOff>
      <xdr:row>42</xdr:row>
      <xdr:rowOff>9525</xdr:rowOff>
    </xdr:to>
    <xdr:pic>
      <xdr:nvPicPr>
        <xdr:cNvPr id="2" name="Imagem 1"/>
        <xdr:cNvPicPr preferRelativeResize="1">
          <a:picLocks noChangeAspect="1"/>
        </xdr:cNvPicPr>
      </xdr:nvPicPr>
      <xdr:blipFill>
        <a:blip r:embed="rId1"/>
        <a:stretch>
          <a:fillRect/>
        </a:stretch>
      </xdr:blipFill>
      <xdr:spPr>
        <a:xfrm>
          <a:off x="581025" y="7896225"/>
          <a:ext cx="3019425" cy="581025"/>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236"/>
  <sheetViews>
    <sheetView tabSelected="1" view="pageBreakPreview" zoomScale="65" zoomScaleSheetLayoutView="65" zoomScalePageLayoutView="65" workbookViewId="0" topLeftCell="A1">
      <pane ySplit="11" topLeftCell="A189" activePane="bottomLeft" state="frozen"/>
      <selection pane="bottomLeft" activeCell="H47" sqref="H46:H47"/>
    </sheetView>
  </sheetViews>
  <sheetFormatPr defaultColWidth="9.140625" defaultRowHeight="15"/>
  <cols>
    <col min="1" max="1" width="8.00390625" style="1" customWidth="1"/>
    <col min="2" max="2" width="21.140625" style="1" customWidth="1"/>
    <col min="3" max="3" width="129.140625" style="2" customWidth="1"/>
    <col min="4" max="4" width="22.00390625" style="3" customWidth="1"/>
    <col min="5" max="5" width="8.57421875" style="4" customWidth="1"/>
    <col min="6" max="6" width="18.28125" style="5" customWidth="1"/>
    <col min="7" max="7" width="16.57421875" style="6" customWidth="1"/>
    <col min="8" max="8" width="22.421875" style="6" customWidth="1"/>
    <col min="9" max="9" width="9.140625" style="2" customWidth="1"/>
    <col min="10" max="10" width="16.140625" style="2" customWidth="1"/>
    <col min="11" max="1025" width="9.140625" style="2" customWidth="1"/>
  </cols>
  <sheetData>
    <row r="1" spans="1:8" ht="18.75" customHeight="1">
      <c r="A1" s="255" t="s">
        <v>0</v>
      </c>
      <c r="B1" s="255"/>
      <c r="C1" s="255"/>
      <c r="D1" s="255"/>
      <c r="E1" s="255"/>
      <c r="F1" s="255"/>
      <c r="G1" s="255"/>
      <c r="H1" s="255"/>
    </row>
    <row r="2" spans="1:8" ht="18.75" customHeight="1">
      <c r="A2" s="255"/>
      <c r="B2" s="255"/>
      <c r="C2" s="255"/>
      <c r="D2" s="255"/>
      <c r="E2" s="255"/>
      <c r="F2" s="255"/>
      <c r="G2" s="255"/>
      <c r="H2" s="255"/>
    </row>
    <row r="3" spans="1:8" ht="36" customHeight="1">
      <c r="A3" s="255"/>
      <c r="B3" s="255"/>
      <c r="C3" s="255"/>
      <c r="D3" s="255"/>
      <c r="E3" s="255"/>
      <c r="F3" s="255"/>
      <c r="G3" s="255"/>
      <c r="H3" s="255"/>
    </row>
    <row r="4" spans="1:8" ht="31.5" customHeight="1">
      <c r="A4" s="256" t="s">
        <v>1</v>
      </c>
      <c r="B4" s="256"/>
      <c r="C4" s="256"/>
      <c r="D4" s="256"/>
      <c r="E4" s="256"/>
      <c r="F4" s="256"/>
      <c r="G4" s="256"/>
      <c r="H4" s="256"/>
    </row>
    <row r="5" spans="1:8" ht="18.75" customHeight="1">
      <c r="A5" s="256"/>
      <c r="B5" s="256"/>
      <c r="C5" s="256"/>
      <c r="D5" s="256"/>
      <c r="E5" s="256"/>
      <c r="F5" s="256"/>
      <c r="G5" s="256"/>
      <c r="H5" s="256"/>
    </row>
    <row r="6" spans="1:8" ht="18.75" customHeight="1">
      <c r="A6" s="257"/>
      <c r="B6" s="251" t="s">
        <v>2</v>
      </c>
      <c r="C6" s="251"/>
      <c r="D6" s="251"/>
      <c r="E6" s="251"/>
      <c r="F6" s="258"/>
      <c r="G6" s="258"/>
      <c r="H6" s="258"/>
    </row>
    <row r="7" spans="1:8" ht="18.75" customHeight="1">
      <c r="A7" s="257"/>
      <c r="B7" s="259" t="s">
        <v>3</v>
      </c>
      <c r="C7" s="259"/>
      <c r="D7" s="259"/>
      <c r="E7" s="259"/>
      <c r="F7" s="258"/>
      <c r="G7" s="258"/>
      <c r="H7" s="258"/>
    </row>
    <row r="8" spans="1:8" ht="18.75" customHeight="1">
      <c r="A8" s="257"/>
      <c r="B8" s="259" t="s">
        <v>4</v>
      </c>
      <c r="C8" s="259"/>
      <c r="D8" s="259"/>
      <c r="E8" s="259"/>
      <c r="F8" s="258"/>
      <c r="G8" s="258"/>
      <c r="H8" s="258"/>
    </row>
    <row r="9" spans="1:8" ht="18.75" customHeight="1">
      <c r="A9" s="257"/>
      <c r="B9" s="259" t="s">
        <v>5</v>
      </c>
      <c r="C9" s="259"/>
      <c r="D9" s="259"/>
      <c r="E9" s="259"/>
      <c r="F9" s="258"/>
      <c r="G9" s="258"/>
      <c r="H9" s="258"/>
    </row>
    <row r="10" spans="1:8" s="6" customFormat="1" ht="15">
      <c r="A10" s="254" t="s">
        <v>1</v>
      </c>
      <c r="B10" s="254"/>
      <c r="C10" s="254"/>
      <c r="D10" s="254"/>
      <c r="E10" s="254"/>
      <c r="F10" s="254"/>
      <c r="G10" s="254"/>
      <c r="H10" s="254"/>
    </row>
    <row r="11" spans="1:8" s="12" customFormat="1" ht="56.25">
      <c r="A11" s="9" t="s">
        <v>6</v>
      </c>
      <c r="B11" s="9" t="s">
        <v>7</v>
      </c>
      <c r="C11" s="9" t="s">
        <v>8</v>
      </c>
      <c r="D11" s="10" t="s">
        <v>9</v>
      </c>
      <c r="E11" s="9" t="s">
        <v>10</v>
      </c>
      <c r="F11" s="11" t="s">
        <v>11</v>
      </c>
      <c r="G11" s="8" t="s">
        <v>12</v>
      </c>
      <c r="H11" s="8" t="s">
        <v>13</v>
      </c>
    </row>
    <row r="12" spans="1:8" s="12" customFormat="1" ht="15">
      <c r="A12" s="9">
        <v>1</v>
      </c>
      <c r="B12" s="9"/>
      <c r="C12" s="13" t="s">
        <v>14</v>
      </c>
      <c r="D12" s="13"/>
      <c r="E12" s="13"/>
      <c r="F12" s="13"/>
      <c r="G12" s="13"/>
      <c r="H12" s="13"/>
    </row>
    <row r="13" spans="1:8" s="6" customFormat="1" ht="15">
      <c r="A13" s="14" t="s">
        <v>15</v>
      </c>
      <c r="B13" s="14">
        <v>98459</v>
      </c>
      <c r="C13" s="15" t="s">
        <v>16</v>
      </c>
      <c r="D13" s="16">
        <f>2.25*3.5*2</f>
        <v>15.75</v>
      </c>
      <c r="E13" s="14" t="s">
        <v>17</v>
      </c>
      <c r="F13" s="17">
        <v>93.97</v>
      </c>
      <c r="G13" s="18">
        <f>F13*1.2771</f>
        <v>120.009087</v>
      </c>
      <c r="H13" s="18">
        <f>D13*G13</f>
        <v>1890.1431202499998</v>
      </c>
    </row>
    <row r="14" spans="1:8" s="12" customFormat="1" ht="15">
      <c r="A14" s="249" t="s">
        <v>18</v>
      </c>
      <c r="B14" s="249"/>
      <c r="C14" s="249"/>
      <c r="D14" s="249"/>
      <c r="E14" s="249"/>
      <c r="F14" s="249"/>
      <c r="G14" s="249"/>
      <c r="H14" s="20">
        <f>SUM(H13:H13)</f>
        <v>1890.1431202499998</v>
      </c>
    </row>
    <row r="15" spans="1:8" s="12" customFormat="1" ht="15">
      <c r="A15" s="9">
        <v>2</v>
      </c>
      <c r="B15" s="9"/>
      <c r="C15" s="13" t="s">
        <v>19</v>
      </c>
      <c r="D15" s="13"/>
      <c r="E15" s="13"/>
      <c r="F15" s="13"/>
      <c r="G15" s="13"/>
      <c r="H15" s="13"/>
    </row>
    <row r="16" spans="1:8" s="6" customFormat="1" ht="37.5">
      <c r="A16" s="14" t="s">
        <v>20</v>
      </c>
      <c r="B16" s="14">
        <v>97624</v>
      </c>
      <c r="C16" s="21" t="s">
        <v>21</v>
      </c>
      <c r="D16" s="16">
        <f>(1.1*2.5*2+0.8*2.1+2*0.6*0.6)*0.18</f>
        <v>1.422</v>
      </c>
      <c r="E16" s="14" t="s">
        <v>22</v>
      </c>
      <c r="F16" s="17">
        <v>91.98</v>
      </c>
      <c r="G16" s="18">
        <f aca="true" t="shared" si="0" ref="G16:G28">F16*1.2771</f>
        <v>117.467658</v>
      </c>
      <c r="H16" s="18">
        <f aca="true" t="shared" si="1" ref="H16:H28">D16*G16</f>
        <v>167.03900967599998</v>
      </c>
    </row>
    <row r="17" spans="1:8" s="6" customFormat="1" ht="37.5">
      <c r="A17" s="14" t="s">
        <v>23</v>
      </c>
      <c r="B17" s="14" t="s">
        <v>24</v>
      </c>
      <c r="C17" s="21" t="s">
        <v>25</v>
      </c>
      <c r="D17" s="16">
        <f>(4.4+17.7+4.4+14.15+3.05+5.1)*2</f>
        <v>97.6</v>
      </c>
      <c r="E17" s="14" t="s">
        <v>17</v>
      </c>
      <c r="F17" s="17">
        <v>11.22</v>
      </c>
      <c r="G17" s="18">
        <f t="shared" si="0"/>
        <v>14.329062</v>
      </c>
      <c r="H17" s="18">
        <f t="shared" si="1"/>
        <v>1398.5164512</v>
      </c>
    </row>
    <row r="18" spans="1:8" s="6" customFormat="1" ht="15">
      <c r="A18" s="14" t="s">
        <v>26</v>
      </c>
      <c r="B18" s="14">
        <v>97633</v>
      </c>
      <c r="C18" s="21" t="s">
        <v>27</v>
      </c>
      <c r="D18" s="16">
        <f>11.16+2.3+3.62+2+2.48+2.7+4.12+5.9+(14.1+6.8+8.3+5.7+6.3+6.9+8.15+9.76)*2.6</f>
        <v>205.90599999999998</v>
      </c>
      <c r="E18" s="14" t="s">
        <v>17</v>
      </c>
      <c r="F18" s="17">
        <v>19.34</v>
      </c>
      <c r="G18" s="18">
        <f t="shared" si="0"/>
        <v>24.699113999999998</v>
      </c>
      <c r="H18" s="18">
        <f t="shared" si="1"/>
        <v>5085.695767283999</v>
      </c>
    </row>
    <row r="19" spans="1:8" s="6" customFormat="1" ht="15">
      <c r="A19" s="14" t="s">
        <v>28</v>
      </c>
      <c r="B19" s="14">
        <v>97632</v>
      </c>
      <c r="C19" s="21" t="s">
        <v>29</v>
      </c>
      <c r="D19" s="16">
        <f>72.7+46.78</f>
        <v>119.48</v>
      </c>
      <c r="E19" s="14" t="s">
        <v>30</v>
      </c>
      <c r="F19" s="17">
        <v>2.21</v>
      </c>
      <c r="G19" s="18">
        <f t="shared" si="0"/>
        <v>2.8223909999999997</v>
      </c>
      <c r="H19" s="18">
        <f t="shared" si="1"/>
        <v>337.21927667999995</v>
      </c>
    </row>
    <row r="20" spans="1:8" s="6" customFormat="1" ht="15">
      <c r="A20" s="14" t="s">
        <v>31</v>
      </c>
      <c r="B20" s="14">
        <v>97629</v>
      </c>
      <c r="C20" s="21" t="s">
        <v>32</v>
      </c>
      <c r="D20" s="16">
        <f>47*0.1</f>
        <v>4.7</v>
      </c>
      <c r="E20" s="14" t="s">
        <v>22</v>
      </c>
      <c r="F20" s="17">
        <v>122.13</v>
      </c>
      <c r="G20" s="18">
        <f t="shared" si="0"/>
        <v>155.97222299999999</v>
      </c>
      <c r="H20" s="18">
        <f t="shared" si="1"/>
        <v>733.0694480999999</v>
      </c>
    </row>
    <row r="21" spans="1:8" s="6" customFormat="1" ht="15">
      <c r="A21" s="14" t="s">
        <v>33</v>
      </c>
      <c r="B21" s="14">
        <v>97644</v>
      </c>
      <c r="C21" s="21" t="s">
        <v>34</v>
      </c>
      <c r="D21" s="16">
        <f>(1+16)*2.5*1.1+7*2.5*0.8</f>
        <v>60.75000000000001</v>
      </c>
      <c r="E21" s="14" t="s">
        <v>17</v>
      </c>
      <c r="F21" s="17">
        <v>7.85</v>
      </c>
      <c r="G21" s="18">
        <f t="shared" si="0"/>
        <v>10.025234999999999</v>
      </c>
      <c r="H21" s="18">
        <f t="shared" si="1"/>
        <v>609.03302625</v>
      </c>
    </row>
    <row r="22" spans="1:8" s="6" customFormat="1" ht="15">
      <c r="A22" s="14" t="s">
        <v>35</v>
      </c>
      <c r="B22" s="14">
        <v>97645</v>
      </c>
      <c r="C22" s="21" t="s">
        <v>36</v>
      </c>
      <c r="D22" s="16">
        <f>1.75*1.6*3</f>
        <v>8.4</v>
      </c>
      <c r="E22" s="14" t="s">
        <v>17</v>
      </c>
      <c r="F22" s="17">
        <v>29.6</v>
      </c>
      <c r="G22" s="18">
        <f t="shared" si="0"/>
        <v>37.80216</v>
      </c>
      <c r="H22" s="18">
        <f t="shared" si="1"/>
        <v>317.53814400000005</v>
      </c>
    </row>
    <row r="23" spans="1:8" s="6" customFormat="1" ht="37.5">
      <c r="A23" s="14" t="s">
        <v>37</v>
      </c>
      <c r="B23" s="14">
        <v>97660</v>
      </c>
      <c r="C23" s="21" t="s">
        <v>38</v>
      </c>
      <c r="D23" s="16">
        <v>190</v>
      </c>
      <c r="E23" s="14" t="s">
        <v>39</v>
      </c>
      <c r="F23" s="17">
        <v>0.57</v>
      </c>
      <c r="G23" s="18">
        <f t="shared" si="0"/>
        <v>0.7279469999999999</v>
      </c>
      <c r="H23" s="18">
        <f t="shared" si="1"/>
        <v>138.30992999999998</v>
      </c>
    </row>
    <row r="24" spans="1:8" s="6" customFormat="1" ht="15">
      <c r="A24" s="14" t="s">
        <v>40</v>
      </c>
      <c r="B24" s="14">
        <v>97661</v>
      </c>
      <c r="C24" s="21" t="s">
        <v>41</v>
      </c>
      <c r="D24" s="16">
        <f>D23*30</f>
        <v>5700</v>
      </c>
      <c r="E24" s="14" t="s">
        <v>30</v>
      </c>
      <c r="F24" s="17">
        <v>0.57</v>
      </c>
      <c r="G24" s="18">
        <f t="shared" si="0"/>
        <v>0.7279469999999999</v>
      </c>
      <c r="H24" s="18">
        <f t="shared" si="1"/>
        <v>4149.2979</v>
      </c>
    </row>
    <row r="25" spans="1:8" s="6" customFormat="1" ht="37.5">
      <c r="A25" s="14" t="s">
        <v>42</v>
      </c>
      <c r="B25" s="14">
        <v>97662</v>
      </c>
      <c r="C25" s="21" t="s">
        <v>43</v>
      </c>
      <c r="D25" s="16">
        <f>14*10</f>
        <v>140</v>
      </c>
      <c r="E25" s="14" t="s">
        <v>30</v>
      </c>
      <c r="F25" s="17">
        <v>0.41</v>
      </c>
      <c r="G25" s="18">
        <f t="shared" si="0"/>
        <v>0.5236109999999999</v>
      </c>
      <c r="H25" s="18">
        <f t="shared" si="1"/>
        <v>73.30554</v>
      </c>
    </row>
    <row r="26" spans="1:8" s="6" customFormat="1" ht="15">
      <c r="A26" s="14" t="s">
        <v>44</v>
      </c>
      <c r="B26" s="14">
        <v>97663</v>
      </c>
      <c r="C26" s="21" t="s">
        <v>45</v>
      </c>
      <c r="D26" s="16">
        <f>5*2</f>
        <v>10</v>
      </c>
      <c r="E26" s="14" t="s">
        <v>39</v>
      </c>
      <c r="F26" s="17">
        <v>10.41</v>
      </c>
      <c r="G26" s="18">
        <f t="shared" si="0"/>
        <v>13.294611</v>
      </c>
      <c r="H26" s="18">
        <f t="shared" si="1"/>
        <v>132.94611</v>
      </c>
    </row>
    <row r="27" spans="1:8" s="6" customFormat="1" ht="37.5">
      <c r="A27" s="14" t="s">
        <v>46</v>
      </c>
      <c r="B27" s="14">
        <v>100198</v>
      </c>
      <c r="C27" s="21" t="s">
        <v>47</v>
      </c>
      <c r="D27" s="16">
        <f>((D16+D20)+(D17+D18)*0.05+D19*0.1*0.05)*1200*0.2</f>
        <v>5254.728</v>
      </c>
      <c r="E27" s="14" t="s">
        <v>48</v>
      </c>
      <c r="F27" s="17">
        <v>0.24</v>
      </c>
      <c r="G27" s="18">
        <f t="shared" si="0"/>
        <v>0.30650399999999994</v>
      </c>
      <c r="H27" s="18">
        <f t="shared" si="1"/>
        <v>1610.5951509119998</v>
      </c>
    </row>
    <row r="28" spans="1:8" s="6" customFormat="1" ht="15">
      <c r="A28" s="14" t="s">
        <v>49</v>
      </c>
      <c r="B28" s="14" t="s">
        <v>50</v>
      </c>
      <c r="C28" s="21" t="s">
        <v>51</v>
      </c>
      <c r="D28" s="16">
        <f>(D16+D20)+(D17+D18)*0.05+D19*0.1*0.05</f>
        <v>21.8947</v>
      </c>
      <c r="E28" s="14" t="s">
        <v>22</v>
      </c>
      <c r="F28" s="17">
        <f>250/5</f>
        <v>50</v>
      </c>
      <c r="G28" s="18">
        <f t="shared" si="0"/>
        <v>63.855</v>
      </c>
      <c r="H28" s="18">
        <f t="shared" si="1"/>
        <v>1398.0860685</v>
      </c>
    </row>
    <row r="29" spans="1:8" s="12" customFormat="1" ht="15">
      <c r="A29" s="249" t="s">
        <v>18</v>
      </c>
      <c r="B29" s="249"/>
      <c r="C29" s="249"/>
      <c r="D29" s="249"/>
      <c r="E29" s="249"/>
      <c r="F29" s="249"/>
      <c r="G29" s="249"/>
      <c r="H29" s="20">
        <f>SUM(H16:H28)</f>
        <v>16150.651822602</v>
      </c>
    </row>
    <row r="30" spans="1:8" s="12" customFormat="1" ht="18.75" customHeight="1">
      <c r="A30" s="9">
        <v>3</v>
      </c>
      <c r="B30" s="9"/>
      <c r="C30" s="252" t="s">
        <v>52</v>
      </c>
      <c r="D30" s="252"/>
      <c r="E30" s="252"/>
      <c r="F30" s="252"/>
      <c r="G30" s="252"/>
      <c r="H30" s="252"/>
    </row>
    <row r="31" spans="1:8" s="24" customFormat="1" ht="37.5">
      <c r="A31" s="14" t="s">
        <v>53</v>
      </c>
      <c r="B31" s="14" t="s">
        <v>54</v>
      </c>
      <c r="C31" s="21" t="s">
        <v>55</v>
      </c>
      <c r="D31" s="22">
        <f>(2.77+1.7+2.37+1.7+2.27+1.6+2.27+1.6+2.27+1.6+2.37+1.5+2.37+1.5+2.27+1.6+2.37+1.6+2.23)*3.5</f>
        <v>132.86</v>
      </c>
      <c r="E31" s="23" t="s">
        <v>17</v>
      </c>
      <c r="F31" s="17">
        <v>191.42</v>
      </c>
      <c r="G31" s="18">
        <f>F31*1.2771</f>
        <v>244.46248199999997</v>
      </c>
      <c r="H31" s="18">
        <f>D31*G31</f>
        <v>32479.28535852</v>
      </c>
    </row>
    <row r="32" spans="1:8" s="24" customFormat="1" ht="15">
      <c r="A32" s="14" t="s">
        <v>56</v>
      </c>
      <c r="B32" s="25" t="s">
        <v>57</v>
      </c>
      <c r="C32" s="26" t="s">
        <v>58</v>
      </c>
      <c r="D32" s="27">
        <f>3*9</f>
        <v>27</v>
      </c>
      <c r="E32" s="28" t="s">
        <v>30</v>
      </c>
      <c r="F32" s="29">
        <v>19.33</v>
      </c>
      <c r="G32" s="18">
        <f>F32*1.2771</f>
        <v>24.686342999999997</v>
      </c>
      <c r="H32" s="18">
        <f>D32*G32</f>
        <v>666.531261</v>
      </c>
    </row>
    <row r="33" spans="1:8" s="24" customFormat="1" ht="15">
      <c r="A33" s="25" t="s">
        <v>59</v>
      </c>
      <c r="B33" s="25">
        <v>93183</v>
      </c>
      <c r="C33" s="26" t="s">
        <v>60</v>
      </c>
      <c r="D33" s="27">
        <f>1.5*4</f>
        <v>6</v>
      </c>
      <c r="E33" s="28" t="s">
        <v>30</v>
      </c>
      <c r="F33" s="29">
        <v>47.84</v>
      </c>
      <c r="G33" s="18">
        <f>F33*1.2771</f>
        <v>61.096464</v>
      </c>
      <c r="H33" s="18">
        <f>D33*G33</f>
        <v>366.578784</v>
      </c>
    </row>
    <row r="34" spans="1:8" s="24" customFormat="1" ht="37.5">
      <c r="A34" s="14" t="s">
        <v>61</v>
      </c>
      <c r="B34" s="25" t="s">
        <v>62</v>
      </c>
      <c r="C34" s="26" t="s">
        <v>63</v>
      </c>
      <c r="D34" s="27">
        <v>11.63</v>
      </c>
      <c r="E34" s="28" t="s">
        <v>17</v>
      </c>
      <c r="F34" s="29">
        <v>76.83</v>
      </c>
      <c r="G34" s="18">
        <f>F34*1.2771</f>
        <v>98.119593</v>
      </c>
      <c r="H34" s="18">
        <f>D34*G34</f>
        <v>1141.13086659</v>
      </c>
    </row>
    <row r="35" spans="1:8" s="12" customFormat="1" ht="15">
      <c r="A35" s="249" t="s">
        <v>18</v>
      </c>
      <c r="B35" s="249"/>
      <c r="C35" s="249"/>
      <c r="D35" s="249"/>
      <c r="E35" s="249"/>
      <c r="F35" s="249"/>
      <c r="G35" s="249"/>
      <c r="H35" s="20">
        <f>SUM(H31:H34)</f>
        <v>34653.52627010999</v>
      </c>
    </row>
    <row r="36" spans="1:8" s="12" customFormat="1" ht="18.75" customHeight="1">
      <c r="A36" s="14">
        <v>4</v>
      </c>
      <c r="B36" s="9"/>
      <c r="C36" s="252" t="s">
        <v>64</v>
      </c>
      <c r="D36" s="252"/>
      <c r="E36" s="252"/>
      <c r="F36" s="252"/>
      <c r="G36" s="252"/>
      <c r="H36" s="252"/>
    </row>
    <row r="37" spans="1:8" s="24" customFormat="1" ht="37.5">
      <c r="A37" s="14" t="s">
        <v>65</v>
      </c>
      <c r="B37" s="14" t="s">
        <v>66</v>
      </c>
      <c r="C37" s="15" t="s">
        <v>67</v>
      </c>
      <c r="D37" s="16">
        <f>2.65*1.7+2.25*1.7+2.15*1.6+2.15*1.6+2.15*1.6+2.25*1.5+2.25*1.5+2.15*1.6+2.25*1.6+1.85*2.23+2.65*2.23+4.65*2.4</f>
        <v>53.635000000000005</v>
      </c>
      <c r="E37" s="14" t="s">
        <v>17</v>
      </c>
      <c r="F37" s="17">
        <v>90.67</v>
      </c>
      <c r="G37" s="18">
        <f>F37*1.2771</f>
        <v>115.79465699999999</v>
      </c>
      <c r="H37" s="18">
        <f>D37*G37</f>
        <v>6210.646428195</v>
      </c>
    </row>
    <row r="38" spans="1:8" s="24" customFormat="1" ht="15">
      <c r="A38" s="14" t="s">
        <v>68</v>
      </c>
      <c r="B38" s="14">
        <v>96114</v>
      </c>
      <c r="C38" s="15" t="s">
        <v>69</v>
      </c>
      <c r="D38" s="16">
        <f>22.86+22.65+16.04+15.16+2.48+74.01+6.71+9.38+10.51+12.14+12.45+12.93+43.9+16.28+18.41+21.43+43.92+16.27+23.16+18.49+17.06</f>
        <v>436.24000000000007</v>
      </c>
      <c r="E38" s="14" t="s">
        <v>17</v>
      </c>
      <c r="F38" s="17">
        <v>89.32</v>
      </c>
      <c r="G38" s="18">
        <f>F38*1.2771</f>
        <v>114.07057199999998</v>
      </c>
      <c r="H38" s="18">
        <f>D38*G38</f>
        <v>49762.14632928</v>
      </c>
    </row>
    <row r="39" spans="1:8" s="12" customFormat="1" ht="15">
      <c r="A39" s="249" t="s">
        <v>18</v>
      </c>
      <c r="B39" s="249"/>
      <c r="C39" s="249"/>
      <c r="D39" s="249"/>
      <c r="E39" s="249"/>
      <c r="F39" s="249"/>
      <c r="G39" s="249"/>
      <c r="H39" s="20">
        <f>SUM(H37:H38)</f>
        <v>55972.79275747501</v>
      </c>
    </row>
    <row r="40" spans="1:8" s="12" customFormat="1" ht="18.75" customHeight="1">
      <c r="A40" s="9">
        <v>5</v>
      </c>
      <c r="B40" s="9"/>
      <c r="C40" s="252" t="s">
        <v>70</v>
      </c>
      <c r="D40" s="252"/>
      <c r="E40" s="252"/>
      <c r="F40" s="252"/>
      <c r="G40" s="252"/>
      <c r="H40" s="252"/>
    </row>
    <row r="41" spans="1:8" s="24" customFormat="1" ht="15">
      <c r="A41" s="25" t="s">
        <v>71</v>
      </c>
      <c r="B41" s="25"/>
      <c r="C41" s="30" t="s">
        <v>72</v>
      </c>
      <c r="D41" s="31"/>
      <c r="E41" s="25"/>
      <c r="F41" s="29"/>
      <c r="G41" s="18"/>
      <c r="H41" s="18"/>
    </row>
    <row r="42" spans="1:8" s="24" customFormat="1" ht="37.5">
      <c r="A42" s="25" t="s">
        <v>73</v>
      </c>
      <c r="B42" s="25">
        <v>98680</v>
      </c>
      <c r="C42" s="26" t="s">
        <v>74</v>
      </c>
      <c r="D42" s="31">
        <f>22.86+22.65+16.04+15.16+2.48+74.01+6.71+9.38+10.51+12.14+12.45+12.93+43.9+16.28+18.41+21.43+43.92+16.27+23.16+18.49+17.06+(2.65*1.7+2.25*1.7+2.15*1.6+2.15*1.6+2.15*1.6+2.25*1.5+2.25*1.5+2.15*1.6+2.25*1.6+1.85*2.23+2.65*2.23+4.65*2.4)</f>
        <v>489.87500000000006</v>
      </c>
      <c r="E42" s="25" t="s">
        <v>17</v>
      </c>
      <c r="F42" s="29">
        <v>41.54</v>
      </c>
      <c r="G42" s="18">
        <f>F42*1.2771</f>
        <v>53.05073399999999</v>
      </c>
      <c r="H42" s="18">
        <f>D42*G42</f>
        <v>25988.22831825</v>
      </c>
    </row>
    <row r="43" spans="1:8" s="24" customFormat="1" ht="37.5">
      <c r="A43" s="25" t="s">
        <v>75</v>
      </c>
      <c r="B43" s="25" t="s">
        <v>76</v>
      </c>
      <c r="C43" s="26" t="s">
        <v>77</v>
      </c>
      <c r="D43" s="31">
        <v>670.27</v>
      </c>
      <c r="E43" s="25" t="s">
        <v>17</v>
      </c>
      <c r="F43" s="29">
        <v>158.65</v>
      </c>
      <c r="G43" s="18">
        <f>F43*1.2771</f>
        <v>202.61191499999998</v>
      </c>
      <c r="H43" s="18">
        <f>D43*G43</f>
        <v>135804.68826705</v>
      </c>
    </row>
    <row r="44" spans="1:8" s="24" customFormat="1" ht="37.5">
      <c r="A44" s="25" t="s">
        <v>78</v>
      </c>
      <c r="B44" s="25">
        <v>87249</v>
      </c>
      <c r="C44" s="26" t="s">
        <v>79</v>
      </c>
      <c r="D44" s="31">
        <f>11.16+4.5+3.82+2.3+3.44+3.44+3.44+3.62+2+2.48+3.37+3.37+3.6+3.44+2.7+4.12+5.9</f>
        <v>66.69999999999999</v>
      </c>
      <c r="E44" s="25" t="s">
        <v>17</v>
      </c>
      <c r="F44" s="29">
        <v>60.38</v>
      </c>
      <c r="G44" s="18">
        <f>F44*1.2771</f>
        <v>77.11129799999999</v>
      </c>
      <c r="H44" s="18">
        <f>D44*G44</f>
        <v>5143.323576599999</v>
      </c>
    </row>
    <row r="45" spans="1:8" s="24" customFormat="1" ht="15">
      <c r="A45" s="25" t="s">
        <v>80</v>
      </c>
      <c r="B45" s="25"/>
      <c r="C45" s="30" t="s">
        <v>81</v>
      </c>
      <c r="D45" s="31"/>
      <c r="E45" s="25"/>
      <c r="F45" s="29"/>
      <c r="G45" s="18"/>
      <c r="H45" s="18"/>
    </row>
    <row r="46" spans="1:8" s="24" customFormat="1" ht="15">
      <c r="A46" s="25" t="s">
        <v>82</v>
      </c>
      <c r="B46" s="25">
        <v>94319</v>
      </c>
      <c r="C46" s="26" t="s">
        <v>83</v>
      </c>
      <c r="D46" s="31">
        <f>D47*0.25</f>
        <v>11.75</v>
      </c>
      <c r="E46" s="25" t="s">
        <v>22</v>
      </c>
      <c r="F46" s="29">
        <v>76.73</v>
      </c>
      <c r="G46" s="18">
        <f>F46*1.2771</f>
        <v>97.991883</v>
      </c>
      <c r="H46" s="18">
        <f>D46*G46</f>
        <v>1151.40462525</v>
      </c>
    </row>
    <row r="47" spans="1:8" s="24" customFormat="1" ht="37.5">
      <c r="A47" s="25" t="s">
        <v>84</v>
      </c>
      <c r="B47" s="25">
        <v>94994</v>
      </c>
      <c r="C47" s="26" t="s">
        <v>85</v>
      </c>
      <c r="D47" s="31">
        <v>47</v>
      </c>
      <c r="E47" s="25" t="s">
        <v>17</v>
      </c>
      <c r="F47" s="29">
        <v>109.64</v>
      </c>
      <c r="G47" s="18">
        <f>F47*1.2771</f>
        <v>140.021244</v>
      </c>
      <c r="H47" s="18">
        <f>D47*G47</f>
        <v>6580.998468</v>
      </c>
    </row>
    <row r="48" spans="1:8" s="12" customFormat="1" ht="15">
      <c r="A48" s="249" t="s">
        <v>18</v>
      </c>
      <c r="B48" s="249"/>
      <c r="C48" s="249"/>
      <c r="D48" s="249"/>
      <c r="E48" s="249"/>
      <c r="F48" s="249"/>
      <c r="G48" s="249"/>
      <c r="H48" s="20">
        <f>SUM(H41:H47)</f>
        <v>174668.64325515</v>
      </c>
    </row>
    <row r="49" spans="1:8" s="6" customFormat="1" ht="18.75" customHeight="1">
      <c r="A49" s="14">
        <v>6</v>
      </c>
      <c r="B49" s="14"/>
      <c r="C49" s="252" t="s">
        <v>86</v>
      </c>
      <c r="D49" s="252"/>
      <c r="E49" s="252"/>
      <c r="F49" s="252"/>
      <c r="G49" s="252"/>
      <c r="H49" s="252"/>
    </row>
    <row r="50" spans="1:8" s="24" customFormat="1" ht="37.5">
      <c r="A50" s="14" t="s">
        <v>87</v>
      </c>
      <c r="B50" s="14" t="s">
        <v>88</v>
      </c>
      <c r="C50" s="21" t="s">
        <v>89</v>
      </c>
      <c r="D50" s="22">
        <f>(1+1.7+0.8+1.7+0.8+0.8+1.6+0.8+1.6+0.8+1.5+0.8+1.5+0.8+0.8)</f>
        <v>17.000000000000004</v>
      </c>
      <c r="E50" s="14" t="s">
        <v>30</v>
      </c>
      <c r="F50" s="17">
        <v>68.47</v>
      </c>
      <c r="G50" s="18">
        <f>F50*1.2771</f>
        <v>87.44303699999999</v>
      </c>
      <c r="H50" s="18">
        <f>D50*G50</f>
        <v>1486.531629</v>
      </c>
    </row>
    <row r="51" spans="1:8" s="24" customFormat="1" ht="37.5">
      <c r="A51" s="14" t="s">
        <v>90</v>
      </c>
      <c r="B51" s="14">
        <v>98546</v>
      </c>
      <c r="C51" s="21" t="s">
        <v>91</v>
      </c>
      <c r="D51" s="22">
        <f>1.7+(1+1+1.7)*0.2+1.36+(0.8+0.8+1.7)*0.2+1.28+(0.8+0.8+1.6)*0.2+1.28+(0.8+0.8+1.6)*0.2+1.28+(0.8+0.8+1.6)*0.2+1.2+(0.8+0.8+1.5)*0.2+1.2+(0.8+0.8+1.5)*0.2+1.28+(0.8+0.8+1.6)*0.2+1.28+(0.8+0.8+1.6)*0.2</f>
        <v>17.7</v>
      </c>
      <c r="E51" s="14" t="s">
        <v>17</v>
      </c>
      <c r="F51" s="17">
        <v>93.14</v>
      </c>
      <c r="G51" s="18">
        <f>F51*1.2771</f>
        <v>118.94909399999999</v>
      </c>
      <c r="H51" s="18">
        <f>D51*G51</f>
        <v>2105.3989638</v>
      </c>
    </row>
    <row r="52" spans="1:8" s="24" customFormat="1" ht="37.5">
      <c r="A52" s="14" t="s">
        <v>92</v>
      </c>
      <c r="B52" s="14">
        <v>98565</v>
      </c>
      <c r="C52" s="21" t="s">
        <v>93</v>
      </c>
      <c r="D52" s="22">
        <f>D51</f>
        <v>17.7</v>
      </c>
      <c r="E52" s="14" t="s">
        <v>17</v>
      </c>
      <c r="F52" s="17">
        <v>45.06</v>
      </c>
      <c r="G52" s="18">
        <f>F52*1.2771</f>
        <v>57.546126</v>
      </c>
      <c r="H52" s="18">
        <f>D52*G52</f>
        <v>1018.5664302</v>
      </c>
    </row>
    <row r="53" spans="1:8" s="24" customFormat="1" ht="37.5">
      <c r="A53" s="14" t="s">
        <v>94</v>
      </c>
      <c r="B53" s="14">
        <v>98555</v>
      </c>
      <c r="C53" s="21" t="s">
        <v>95</v>
      </c>
      <c r="D53" s="22">
        <f>(1+1.7+0.8+1.7+0.8+0.8+1.6+0.8+1.6+0.8+1.5+0.8+1.5+0.8+0.8)*2.5</f>
        <v>42.50000000000001</v>
      </c>
      <c r="E53" s="14" t="s">
        <v>17</v>
      </c>
      <c r="F53" s="17">
        <v>23.71</v>
      </c>
      <c r="G53" s="18">
        <f>F53*1.2771</f>
        <v>30.280040999999997</v>
      </c>
      <c r="H53" s="18">
        <f>D53*G53</f>
        <v>1286.9017425000002</v>
      </c>
    </row>
    <row r="54" spans="1:8" s="24" customFormat="1" ht="37.5">
      <c r="A54" s="14" t="s">
        <v>96</v>
      </c>
      <c r="B54" s="14">
        <v>98558</v>
      </c>
      <c r="C54" s="21" t="s">
        <v>97</v>
      </c>
      <c r="D54" s="22">
        <f>2+14</f>
        <v>16</v>
      </c>
      <c r="E54" s="14" t="s">
        <v>39</v>
      </c>
      <c r="F54" s="17">
        <v>6.86</v>
      </c>
      <c r="G54" s="18">
        <f>F54*1.2771</f>
        <v>8.760906</v>
      </c>
      <c r="H54" s="18">
        <f>D54*G54</f>
        <v>140.174496</v>
      </c>
    </row>
    <row r="55" spans="1:8" s="12" customFormat="1" ht="15">
      <c r="A55" s="249" t="s">
        <v>18</v>
      </c>
      <c r="B55" s="249"/>
      <c r="C55" s="249"/>
      <c r="D55" s="249"/>
      <c r="E55" s="249"/>
      <c r="F55" s="249"/>
      <c r="G55" s="249"/>
      <c r="H55" s="20">
        <f>SUM(H50:H54)</f>
        <v>6037.5732615</v>
      </c>
    </row>
    <row r="56" spans="1:8" s="12" customFormat="1" ht="18.75" customHeight="1">
      <c r="A56" s="9">
        <v>7</v>
      </c>
      <c r="B56" s="9"/>
      <c r="C56" s="252" t="s">
        <v>98</v>
      </c>
      <c r="D56" s="252"/>
      <c r="E56" s="252"/>
      <c r="F56" s="252"/>
      <c r="G56" s="252"/>
      <c r="H56" s="252"/>
    </row>
    <row r="57" spans="1:8" s="6" customFormat="1" ht="37.5">
      <c r="A57" s="25" t="s">
        <v>99</v>
      </c>
      <c r="B57" s="25" t="s">
        <v>100</v>
      </c>
      <c r="C57" s="32" t="s">
        <v>101</v>
      </c>
      <c r="D57" s="31">
        <f>11.63*2+3*4*0.6*0.5</f>
        <v>26.86</v>
      </c>
      <c r="E57" s="25" t="s">
        <v>17</v>
      </c>
      <c r="F57" s="29">
        <v>6.46</v>
      </c>
      <c r="G57" s="18">
        <f>F57*1.2771</f>
        <v>8.250065999999999</v>
      </c>
      <c r="H57" s="18">
        <f>D57*G57</f>
        <v>221.59677275999996</v>
      </c>
    </row>
    <row r="58" spans="1:8" s="6" customFormat="1" ht="56.25">
      <c r="A58" s="25" t="s">
        <v>102</v>
      </c>
      <c r="B58" s="25" t="s">
        <v>103</v>
      </c>
      <c r="C58" s="32" t="s">
        <v>104</v>
      </c>
      <c r="D58" s="31">
        <f>D57</f>
        <v>26.86</v>
      </c>
      <c r="E58" s="25" t="s">
        <v>17</v>
      </c>
      <c r="F58" s="29">
        <v>35.21</v>
      </c>
      <c r="G58" s="18">
        <f>F58*1.2771</f>
        <v>44.966691</v>
      </c>
      <c r="H58" s="18">
        <f>D58*G58</f>
        <v>1207.80532026</v>
      </c>
    </row>
    <row r="59" spans="1:8" s="6" customFormat="1" ht="56.25">
      <c r="A59" s="25" t="s">
        <v>105</v>
      </c>
      <c r="B59" s="25">
        <v>87272</v>
      </c>
      <c r="C59" s="32" t="s">
        <v>106</v>
      </c>
      <c r="D59" s="31">
        <f>(14.1+8.7+7.9+6.8+7.5+7.5+7.5+8.3+5.7+6.3+7.5+7.5+7.7+7.5+6.9+8.15+9.76)*2.5-2.1*0.8*17</f>
        <v>309.715</v>
      </c>
      <c r="E59" s="25" t="s">
        <v>17</v>
      </c>
      <c r="F59" s="29">
        <v>67.9</v>
      </c>
      <c r="G59" s="18">
        <f>F59*1.2771</f>
        <v>86.71509</v>
      </c>
      <c r="H59" s="18">
        <f>D59*G59</f>
        <v>26856.96409935</v>
      </c>
    </row>
    <row r="60" spans="1:8" s="12" customFormat="1" ht="15">
      <c r="A60" s="249" t="s">
        <v>18</v>
      </c>
      <c r="B60" s="249"/>
      <c r="C60" s="249"/>
      <c r="D60" s="249"/>
      <c r="E60" s="249"/>
      <c r="F60" s="249"/>
      <c r="G60" s="249"/>
      <c r="H60" s="20">
        <f>SUM(H57:H59)</f>
        <v>28286.36619237</v>
      </c>
    </row>
    <row r="61" spans="1:8" s="12" customFormat="1" ht="18.75" customHeight="1">
      <c r="A61" s="9">
        <v>8</v>
      </c>
      <c r="B61" s="9"/>
      <c r="C61" s="252" t="s">
        <v>107</v>
      </c>
      <c r="D61" s="252"/>
      <c r="E61" s="252"/>
      <c r="F61" s="252"/>
      <c r="G61" s="252"/>
      <c r="H61" s="252"/>
    </row>
    <row r="62" spans="1:8" s="24" customFormat="1" ht="37.5">
      <c r="A62" s="33" t="s">
        <v>108</v>
      </c>
      <c r="B62" s="25" t="s">
        <v>109</v>
      </c>
      <c r="C62" s="26" t="s">
        <v>110</v>
      </c>
      <c r="D62" s="31">
        <f>5*0.8*0.6</f>
        <v>2.4</v>
      </c>
      <c r="E62" s="25" t="s">
        <v>17</v>
      </c>
      <c r="F62" s="29">
        <v>1063.95</v>
      </c>
      <c r="G62" s="18">
        <f>F62*1.2771</f>
        <v>1358.7705449999999</v>
      </c>
      <c r="H62" s="18">
        <f>D62*G62</f>
        <v>3261.0493079999997</v>
      </c>
    </row>
    <row r="63" spans="1:8" s="24" customFormat="1" ht="56.25">
      <c r="A63" s="33" t="s">
        <v>111</v>
      </c>
      <c r="B63" s="25">
        <v>90791</v>
      </c>
      <c r="C63" s="26" t="s">
        <v>112</v>
      </c>
      <c r="D63" s="31">
        <v>11</v>
      </c>
      <c r="E63" s="25" t="s">
        <v>39</v>
      </c>
      <c r="F63" s="29">
        <v>1028.86</v>
      </c>
      <c r="G63" s="18">
        <f>F63*1.2771</f>
        <v>1313.9571059999998</v>
      </c>
      <c r="H63" s="18">
        <f>D63*G63</f>
        <v>14453.528165999998</v>
      </c>
    </row>
    <row r="64" spans="1:8" s="24" customFormat="1" ht="81.75" customHeight="1">
      <c r="A64" s="33"/>
      <c r="B64" s="25" t="s">
        <v>750</v>
      </c>
      <c r="C64" s="26" t="s">
        <v>753</v>
      </c>
      <c r="D64" s="31">
        <v>6</v>
      </c>
      <c r="E64" s="25" t="s">
        <v>39</v>
      </c>
      <c r="F64" s="29">
        <v>1872.65</v>
      </c>
      <c r="G64" s="18">
        <f>F64*1.2771</f>
        <v>2391.561315</v>
      </c>
      <c r="H64" s="18">
        <f>D64*G64</f>
        <v>14349.36789</v>
      </c>
    </row>
    <row r="65" spans="1:8" s="24" customFormat="1" ht="81.75" customHeight="1">
      <c r="A65" s="33" t="s">
        <v>113</v>
      </c>
      <c r="B65" s="25" t="s">
        <v>747</v>
      </c>
      <c r="C65" s="26" t="s">
        <v>752</v>
      </c>
      <c r="D65" s="31">
        <f>2+17</f>
        <v>19</v>
      </c>
      <c r="E65" s="25" t="s">
        <v>39</v>
      </c>
      <c r="F65" s="29">
        <v>1530.7</v>
      </c>
      <c r="G65" s="18">
        <f>F65*1.2771</f>
        <v>1954.8569699999998</v>
      </c>
      <c r="H65" s="18">
        <f>D65*G65</f>
        <v>37142.28243</v>
      </c>
    </row>
    <row r="66" spans="1:8" s="12" customFormat="1" ht="15">
      <c r="A66" s="249" t="s">
        <v>18</v>
      </c>
      <c r="B66" s="249"/>
      <c r="C66" s="249"/>
      <c r="D66" s="249"/>
      <c r="E66" s="249"/>
      <c r="F66" s="249"/>
      <c r="G66" s="249"/>
      <c r="H66" s="20">
        <f>SUM(H62:H65)</f>
        <v>69206.227794</v>
      </c>
    </row>
    <row r="67" spans="1:8" s="12" customFormat="1" ht="18.75" customHeight="1">
      <c r="A67" s="9">
        <v>9</v>
      </c>
      <c r="B67" s="9"/>
      <c r="C67" s="252" t="s">
        <v>114</v>
      </c>
      <c r="D67" s="252"/>
      <c r="E67" s="252"/>
      <c r="F67" s="252"/>
      <c r="G67" s="252"/>
      <c r="H67" s="252"/>
    </row>
    <row r="68" spans="1:8" s="35" customFormat="1" ht="18.75" customHeight="1">
      <c r="A68" s="9"/>
      <c r="B68" s="34"/>
      <c r="C68" s="253" t="s">
        <v>115</v>
      </c>
      <c r="D68" s="253"/>
      <c r="E68" s="253"/>
      <c r="F68" s="253"/>
      <c r="G68" s="253"/>
      <c r="H68" s="253"/>
    </row>
    <row r="69" spans="1:8" s="12" customFormat="1" ht="56.25">
      <c r="A69" s="14" t="s">
        <v>116</v>
      </c>
      <c r="B69" s="14">
        <v>91792</v>
      </c>
      <c r="C69" s="21" t="s">
        <v>117</v>
      </c>
      <c r="D69" s="16">
        <v>20</v>
      </c>
      <c r="E69" s="14" t="s">
        <v>30</v>
      </c>
      <c r="F69" s="17">
        <v>57.91</v>
      </c>
      <c r="G69" s="18">
        <f aca="true" t="shared" si="2" ref="G69:G74">F69*1.2771</f>
        <v>73.95686099999999</v>
      </c>
      <c r="H69" s="18">
        <f aca="true" t="shared" si="3" ref="H69:H74">D69*G69</f>
        <v>1479.1372199999998</v>
      </c>
    </row>
    <row r="70" spans="1:8" s="12" customFormat="1" ht="56.25">
      <c r="A70" s="14" t="s">
        <v>118</v>
      </c>
      <c r="B70" s="14" t="s">
        <v>119</v>
      </c>
      <c r="C70" s="21" t="s">
        <v>120</v>
      </c>
      <c r="D70" s="16">
        <v>20</v>
      </c>
      <c r="E70" s="14" t="s">
        <v>30</v>
      </c>
      <c r="F70" s="17">
        <v>89.53</v>
      </c>
      <c r="G70" s="18">
        <f t="shared" si="2"/>
        <v>114.33876299999999</v>
      </c>
      <c r="H70" s="18">
        <f t="shared" si="3"/>
        <v>2286.77526</v>
      </c>
    </row>
    <row r="71" spans="1:8" s="12" customFormat="1" ht="56.25">
      <c r="A71" s="14" t="s">
        <v>121</v>
      </c>
      <c r="B71" s="14">
        <v>91794</v>
      </c>
      <c r="C71" s="21" t="s">
        <v>122</v>
      </c>
      <c r="D71" s="16">
        <v>20</v>
      </c>
      <c r="E71" s="14" t="s">
        <v>30</v>
      </c>
      <c r="F71" s="17">
        <v>46.21</v>
      </c>
      <c r="G71" s="18">
        <f t="shared" si="2"/>
        <v>59.014790999999995</v>
      </c>
      <c r="H71" s="18">
        <f t="shared" si="3"/>
        <v>1180.2958199999998</v>
      </c>
    </row>
    <row r="72" spans="1:8" s="12" customFormat="1" ht="56.25">
      <c r="A72" s="14" t="s">
        <v>123</v>
      </c>
      <c r="B72" s="14">
        <v>91795</v>
      </c>
      <c r="C72" s="21" t="s">
        <v>124</v>
      </c>
      <c r="D72" s="16">
        <f>(4.4+17.7+4.4+14.15+3.05+5.1)</f>
        <v>48.8</v>
      </c>
      <c r="E72" s="14" t="s">
        <v>30</v>
      </c>
      <c r="F72" s="17">
        <v>75.71</v>
      </c>
      <c r="G72" s="18">
        <f t="shared" si="2"/>
        <v>96.68924099999998</v>
      </c>
      <c r="H72" s="18">
        <f t="shared" si="3"/>
        <v>4718.434960799998</v>
      </c>
    </row>
    <row r="73" spans="1:8" s="12" customFormat="1" ht="37.5">
      <c r="A73" s="14" t="s">
        <v>125</v>
      </c>
      <c r="B73" s="14">
        <v>97902</v>
      </c>
      <c r="C73" s="21" t="s">
        <v>126</v>
      </c>
      <c r="D73" s="16">
        <f>10+5</f>
        <v>15</v>
      </c>
      <c r="E73" s="14" t="s">
        <v>39</v>
      </c>
      <c r="F73" s="17">
        <v>580.28</v>
      </c>
      <c r="G73" s="18">
        <f t="shared" si="2"/>
        <v>741.0755879999999</v>
      </c>
      <c r="H73" s="18">
        <f t="shared" si="3"/>
        <v>11116.13382</v>
      </c>
    </row>
    <row r="74" spans="1:8" s="12" customFormat="1" ht="37.5">
      <c r="A74" s="14" t="s">
        <v>127</v>
      </c>
      <c r="B74" s="14">
        <v>89708</v>
      </c>
      <c r="C74" s="21" t="s">
        <v>128</v>
      </c>
      <c r="D74" s="16">
        <f>20</f>
        <v>20</v>
      </c>
      <c r="E74" s="14" t="s">
        <v>39</v>
      </c>
      <c r="F74" s="17">
        <v>104.15</v>
      </c>
      <c r="G74" s="18">
        <f t="shared" si="2"/>
        <v>133.009965</v>
      </c>
      <c r="H74" s="18">
        <f t="shared" si="3"/>
        <v>2660.1992999999998</v>
      </c>
    </row>
    <row r="75" spans="1:8" s="6" customFormat="1" ht="18.75" customHeight="1">
      <c r="A75" s="14"/>
      <c r="B75" s="14"/>
      <c r="C75" s="252" t="s">
        <v>129</v>
      </c>
      <c r="D75" s="252"/>
      <c r="E75" s="252"/>
      <c r="F75" s="252"/>
      <c r="G75" s="252"/>
      <c r="H75" s="252"/>
    </row>
    <row r="76" spans="1:8" s="6" customFormat="1" ht="37.5">
      <c r="A76" s="14" t="s">
        <v>130</v>
      </c>
      <c r="B76" s="14">
        <v>90443</v>
      </c>
      <c r="C76" s="21" t="s">
        <v>131</v>
      </c>
      <c r="D76" s="16">
        <f>50</f>
        <v>50</v>
      </c>
      <c r="E76" s="14" t="s">
        <v>30</v>
      </c>
      <c r="F76" s="17">
        <v>11.4</v>
      </c>
      <c r="G76" s="18">
        <f>F76*1.2771</f>
        <v>14.55894</v>
      </c>
      <c r="H76" s="18">
        <f>D76*G76</f>
        <v>727.947</v>
      </c>
    </row>
    <row r="77" spans="1:8" s="6" customFormat="1" ht="37.5">
      <c r="A77" s="14" t="s">
        <v>132</v>
      </c>
      <c r="B77" s="14">
        <v>90466</v>
      </c>
      <c r="C77" s="21" t="s">
        <v>133</v>
      </c>
      <c r="D77" s="16">
        <f>D76</f>
        <v>50</v>
      </c>
      <c r="E77" s="14" t="s">
        <v>30</v>
      </c>
      <c r="F77" s="17">
        <v>11.61</v>
      </c>
      <c r="G77" s="18">
        <f>F77*1.2771</f>
        <v>14.827130999999998</v>
      </c>
      <c r="H77" s="18">
        <f>D77*G77</f>
        <v>741.3565499999999</v>
      </c>
    </row>
    <row r="78" spans="1:8" s="6" customFormat="1" ht="56.25">
      <c r="A78" s="14" t="s">
        <v>134</v>
      </c>
      <c r="B78" s="14" t="s">
        <v>135</v>
      </c>
      <c r="C78" s="21" t="s">
        <v>136</v>
      </c>
      <c r="D78" s="16">
        <v>100</v>
      </c>
      <c r="E78" s="14" t="s">
        <v>30</v>
      </c>
      <c r="F78" s="17">
        <v>44.17</v>
      </c>
      <c r="G78" s="18">
        <f>F78*1.2771</f>
        <v>56.409507</v>
      </c>
      <c r="H78" s="18">
        <f>D78*G78</f>
        <v>5640.950699999999</v>
      </c>
    </row>
    <row r="79" spans="1:8" s="6" customFormat="1" ht="37.5">
      <c r="A79" s="14" t="s">
        <v>137</v>
      </c>
      <c r="B79" s="14">
        <v>90460</v>
      </c>
      <c r="C79" s="21" t="s">
        <v>138</v>
      </c>
      <c r="D79" s="16">
        <f>50</f>
        <v>50</v>
      </c>
      <c r="E79" s="14" t="s">
        <v>30</v>
      </c>
      <c r="F79" s="17">
        <v>11.84</v>
      </c>
      <c r="G79" s="18">
        <f>F79*1.2771</f>
        <v>15.120864</v>
      </c>
      <c r="H79" s="18">
        <f>D79*G79</f>
        <v>756.0432</v>
      </c>
    </row>
    <row r="80" spans="1:8" s="24" customFormat="1" ht="18.75" customHeight="1">
      <c r="A80" s="14" t="s">
        <v>139</v>
      </c>
      <c r="B80" s="25"/>
      <c r="C80" s="253" t="s">
        <v>140</v>
      </c>
      <c r="D80" s="253"/>
      <c r="E80" s="253"/>
      <c r="F80" s="253"/>
      <c r="G80" s="253"/>
      <c r="H80" s="253"/>
    </row>
    <row r="81" spans="1:8" s="24" customFormat="1" ht="37.5">
      <c r="A81" s="14" t="s">
        <v>141</v>
      </c>
      <c r="B81" s="28">
        <v>86888</v>
      </c>
      <c r="C81" s="26" t="s">
        <v>142</v>
      </c>
      <c r="D81" s="31">
        <v>14</v>
      </c>
      <c r="E81" s="25" t="s">
        <v>39</v>
      </c>
      <c r="F81" s="29">
        <v>434.13</v>
      </c>
      <c r="G81" s="18">
        <f aca="true" t="shared" si="4" ref="G81:G89">F81*1.2771</f>
        <v>554.427423</v>
      </c>
      <c r="H81" s="18">
        <f aca="true" t="shared" si="5" ref="H81:H89">D81*G81</f>
        <v>7761.983921999999</v>
      </c>
    </row>
    <row r="82" spans="1:8" s="24" customFormat="1" ht="37.5">
      <c r="A82" s="14" t="s">
        <v>143</v>
      </c>
      <c r="B82" s="28">
        <v>86903</v>
      </c>
      <c r="C82" s="26" t="s">
        <v>144</v>
      </c>
      <c r="D82" s="31">
        <v>14</v>
      </c>
      <c r="E82" s="25" t="s">
        <v>39</v>
      </c>
      <c r="F82" s="29">
        <v>326.38</v>
      </c>
      <c r="G82" s="18">
        <f t="shared" si="4"/>
        <v>416.81989799999997</v>
      </c>
      <c r="H82" s="18">
        <f t="shared" si="5"/>
        <v>5835.478572</v>
      </c>
    </row>
    <row r="83" spans="1:8" s="24" customFormat="1" ht="37.5">
      <c r="A83" s="14" t="s">
        <v>145</v>
      </c>
      <c r="B83" s="28" t="s">
        <v>146</v>
      </c>
      <c r="C83" s="26" t="s">
        <v>147</v>
      </c>
      <c r="D83" s="31">
        <v>14</v>
      </c>
      <c r="E83" s="25" t="s">
        <v>39</v>
      </c>
      <c r="F83" s="29">
        <v>103.68</v>
      </c>
      <c r="G83" s="18">
        <f t="shared" si="4"/>
        <v>132.409728</v>
      </c>
      <c r="H83" s="18">
        <f t="shared" si="5"/>
        <v>1853.736192</v>
      </c>
    </row>
    <row r="84" spans="1:8" s="24" customFormat="1" ht="15">
      <c r="A84" s="14" t="s">
        <v>148</v>
      </c>
      <c r="B84" s="28" t="s">
        <v>149</v>
      </c>
      <c r="C84" s="26" t="s">
        <v>150</v>
      </c>
      <c r="D84" s="31">
        <v>42</v>
      </c>
      <c r="E84" s="25" t="s">
        <v>39</v>
      </c>
      <c r="F84" s="29">
        <v>13.38</v>
      </c>
      <c r="G84" s="18">
        <f t="shared" si="4"/>
        <v>17.087598</v>
      </c>
      <c r="H84" s="18">
        <f t="shared" si="5"/>
        <v>717.679116</v>
      </c>
    </row>
    <row r="85" spans="1:8" s="24" customFormat="1" ht="15">
      <c r="A85" s="14" t="s">
        <v>151</v>
      </c>
      <c r="B85" s="28">
        <v>86883</v>
      </c>
      <c r="C85" s="26" t="s">
        <v>152</v>
      </c>
      <c r="D85" s="31">
        <v>14</v>
      </c>
      <c r="E85" s="25" t="s">
        <v>39</v>
      </c>
      <c r="F85" s="29">
        <v>14.19</v>
      </c>
      <c r="G85" s="18">
        <f t="shared" si="4"/>
        <v>18.122048999999997</v>
      </c>
      <c r="H85" s="18">
        <f t="shared" si="5"/>
        <v>253.70868599999994</v>
      </c>
    </row>
    <row r="86" spans="1:8" s="24" customFormat="1" ht="37.5">
      <c r="A86" s="14" t="s">
        <v>153</v>
      </c>
      <c r="B86" s="28">
        <v>86877</v>
      </c>
      <c r="C86" s="26" t="s">
        <v>154</v>
      </c>
      <c r="D86" s="31">
        <v>14</v>
      </c>
      <c r="E86" s="25" t="s">
        <v>39</v>
      </c>
      <c r="F86" s="29">
        <v>86.88</v>
      </c>
      <c r="G86" s="18">
        <f t="shared" si="4"/>
        <v>110.95444799999999</v>
      </c>
      <c r="H86" s="18">
        <f t="shared" si="5"/>
        <v>1553.3622719999998</v>
      </c>
    </row>
    <row r="87" spans="1:8" s="24" customFormat="1" ht="15">
      <c r="A87" s="14" t="s">
        <v>155</v>
      </c>
      <c r="B87" s="28">
        <v>100856</v>
      </c>
      <c r="C87" s="26" t="s">
        <v>156</v>
      </c>
      <c r="D87" s="31">
        <v>14</v>
      </c>
      <c r="E87" s="25" t="s">
        <v>39</v>
      </c>
      <c r="F87" s="29">
        <v>51.8</v>
      </c>
      <c r="G87" s="18">
        <f t="shared" si="4"/>
        <v>66.15378</v>
      </c>
      <c r="H87" s="18">
        <f t="shared" si="5"/>
        <v>926.15292</v>
      </c>
    </row>
    <row r="88" spans="1:8" s="24" customFormat="1" ht="37.5">
      <c r="A88" s="14" t="s">
        <v>157</v>
      </c>
      <c r="B88" s="28">
        <v>89349</v>
      </c>
      <c r="C88" s="26" t="s">
        <v>158</v>
      </c>
      <c r="D88" s="31">
        <v>14</v>
      </c>
      <c r="E88" s="25" t="s">
        <v>39</v>
      </c>
      <c r="F88" s="29">
        <v>30.61</v>
      </c>
      <c r="G88" s="18">
        <f t="shared" si="4"/>
        <v>39.092031</v>
      </c>
      <c r="H88" s="18">
        <f t="shared" si="5"/>
        <v>547.2884339999999</v>
      </c>
    </row>
    <row r="89" spans="1:8" s="24" customFormat="1" ht="37.5">
      <c r="A89" s="14" t="s">
        <v>159</v>
      </c>
      <c r="B89" s="28">
        <v>89353</v>
      </c>
      <c r="C89" s="26" t="s">
        <v>160</v>
      </c>
      <c r="D89" s="31">
        <v>14</v>
      </c>
      <c r="E89" s="25" t="s">
        <v>39</v>
      </c>
      <c r="F89" s="29">
        <v>45.68</v>
      </c>
      <c r="G89" s="18">
        <f t="shared" si="4"/>
        <v>58.337928</v>
      </c>
      <c r="H89" s="18">
        <f t="shared" si="5"/>
        <v>816.730992</v>
      </c>
    </row>
    <row r="90" spans="1:8" s="12" customFormat="1" ht="15">
      <c r="A90" s="19"/>
      <c r="B90" s="19"/>
      <c r="C90" s="19" t="s">
        <v>18</v>
      </c>
      <c r="D90" s="36"/>
      <c r="E90" s="19"/>
      <c r="F90" s="37"/>
      <c r="G90" s="20"/>
      <c r="H90" s="20">
        <f>SUM(H69:H89)</f>
        <v>51573.39493679999</v>
      </c>
    </row>
    <row r="91" spans="1:8" s="35" customFormat="1" ht="18.75" customHeight="1">
      <c r="A91" s="9">
        <v>10</v>
      </c>
      <c r="B91" s="9"/>
      <c r="C91" s="252" t="s">
        <v>161</v>
      </c>
      <c r="D91" s="252"/>
      <c r="E91" s="252"/>
      <c r="F91" s="252"/>
      <c r="G91" s="252"/>
      <c r="H91" s="252"/>
    </row>
    <row r="92" spans="1:8" s="35" customFormat="1" ht="37.5">
      <c r="A92" s="14" t="s">
        <v>162</v>
      </c>
      <c r="B92" s="23" t="s">
        <v>163</v>
      </c>
      <c r="C92" s="21" t="s">
        <v>164</v>
      </c>
      <c r="D92" s="38">
        <v>2</v>
      </c>
      <c r="E92" s="7" t="s">
        <v>39</v>
      </c>
      <c r="F92" s="17">
        <v>3112.88</v>
      </c>
      <c r="G92" s="18">
        <f aca="true" t="shared" si="6" ref="G92:G123">F92*1.2771</f>
        <v>3975.4590479999997</v>
      </c>
      <c r="H92" s="18">
        <f aca="true" t="shared" si="7" ref="H92:H123">D92*G92</f>
        <v>7950.918095999999</v>
      </c>
    </row>
    <row r="93" spans="1:8" s="6" customFormat="1" ht="37.5">
      <c r="A93" s="14" t="s">
        <v>165</v>
      </c>
      <c r="B93" s="23">
        <v>101881</v>
      </c>
      <c r="C93" s="21" t="s">
        <v>166</v>
      </c>
      <c r="D93" s="38">
        <v>2</v>
      </c>
      <c r="E93" s="7" t="s">
        <v>39</v>
      </c>
      <c r="F93" s="17">
        <v>1153.86</v>
      </c>
      <c r="G93" s="18">
        <f t="shared" si="6"/>
        <v>1473.5946059999997</v>
      </c>
      <c r="H93" s="18">
        <f t="shared" si="7"/>
        <v>2947.1892119999993</v>
      </c>
    </row>
    <row r="94" spans="1:8" s="6" customFormat="1" ht="37.5">
      <c r="A94" s="14" t="s">
        <v>167</v>
      </c>
      <c r="B94" s="25">
        <v>101883</v>
      </c>
      <c r="C94" s="21" t="s">
        <v>168</v>
      </c>
      <c r="D94" s="38">
        <v>2</v>
      </c>
      <c r="E94" s="7" t="s">
        <v>39</v>
      </c>
      <c r="F94" s="29">
        <v>661.14</v>
      </c>
      <c r="G94" s="18">
        <f t="shared" si="6"/>
        <v>844.3418939999999</v>
      </c>
      <c r="H94" s="18">
        <f t="shared" si="7"/>
        <v>1688.6837879999998</v>
      </c>
    </row>
    <row r="95" spans="1:8" s="6" customFormat="1" ht="15">
      <c r="A95" s="14" t="s">
        <v>169</v>
      </c>
      <c r="B95" s="25">
        <v>91940</v>
      </c>
      <c r="C95" s="26" t="s">
        <v>170</v>
      </c>
      <c r="D95" s="38">
        <v>430</v>
      </c>
      <c r="E95" s="7" t="s">
        <v>39</v>
      </c>
      <c r="F95" s="29">
        <v>13.69</v>
      </c>
      <c r="G95" s="18">
        <f t="shared" si="6"/>
        <v>17.483499</v>
      </c>
      <c r="H95" s="18">
        <f t="shared" si="7"/>
        <v>7517.90457</v>
      </c>
    </row>
    <row r="96" spans="1:8" s="6" customFormat="1" ht="15">
      <c r="A96" s="14" t="s">
        <v>171</v>
      </c>
      <c r="B96" s="25">
        <v>91936</v>
      </c>
      <c r="C96" s="26" t="s">
        <v>172</v>
      </c>
      <c r="D96" s="38">
        <v>73</v>
      </c>
      <c r="E96" s="7" t="s">
        <v>39</v>
      </c>
      <c r="F96" s="29">
        <v>13.7</v>
      </c>
      <c r="G96" s="18">
        <f t="shared" si="6"/>
        <v>17.49627</v>
      </c>
      <c r="H96" s="18">
        <f t="shared" si="7"/>
        <v>1277.22771</v>
      </c>
    </row>
    <row r="97" spans="1:8" s="6" customFormat="1" ht="37.5">
      <c r="A97" s="14" t="s">
        <v>173</v>
      </c>
      <c r="B97" s="25">
        <v>91943</v>
      </c>
      <c r="C97" s="26" t="s">
        <v>174</v>
      </c>
      <c r="D97" s="38">
        <v>30</v>
      </c>
      <c r="E97" s="7" t="s">
        <v>39</v>
      </c>
      <c r="F97" s="29">
        <v>18.35</v>
      </c>
      <c r="G97" s="18">
        <f t="shared" si="6"/>
        <v>23.434785</v>
      </c>
      <c r="H97" s="18">
        <f t="shared" si="7"/>
        <v>703.0435500000001</v>
      </c>
    </row>
    <row r="98" spans="1:8" s="6" customFormat="1" ht="37.5">
      <c r="A98" s="14" t="s">
        <v>175</v>
      </c>
      <c r="B98" s="25">
        <v>95808</v>
      </c>
      <c r="C98" s="26" t="s">
        <v>176</v>
      </c>
      <c r="D98" s="38">
        <v>2</v>
      </c>
      <c r="E98" s="7" t="s">
        <v>39</v>
      </c>
      <c r="F98" s="29">
        <v>29.19</v>
      </c>
      <c r="G98" s="18">
        <f t="shared" si="6"/>
        <v>37.278549</v>
      </c>
      <c r="H98" s="18">
        <f t="shared" si="7"/>
        <v>74.557098</v>
      </c>
    </row>
    <row r="99" spans="1:8" s="6" customFormat="1" ht="37.5">
      <c r="A99" s="14" t="s">
        <v>177</v>
      </c>
      <c r="B99" s="25">
        <v>95817</v>
      </c>
      <c r="C99" s="26" t="s">
        <v>178</v>
      </c>
      <c r="D99" s="38">
        <v>2</v>
      </c>
      <c r="E99" s="7" t="s">
        <v>39</v>
      </c>
      <c r="F99" s="17">
        <v>35.73</v>
      </c>
      <c r="G99" s="18">
        <f t="shared" si="6"/>
        <v>45.630782999999994</v>
      </c>
      <c r="H99" s="18">
        <f t="shared" si="7"/>
        <v>91.26156599999999</v>
      </c>
    </row>
    <row r="100" spans="1:8" s="6" customFormat="1" ht="37.5">
      <c r="A100" s="14" t="s">
        <v>179</v>
      </c>
      <c r="B100" s="25">
        <v>95818</v>
      </c>
      <c r="C100" s="26" t="s">
        <v>180</v>
      </c>
      <c r="D100" s="38">
        <v>12</v>
      </c>
      <c r="E100" s="7" t="s">
        <v>39</v>
      </c>
      <c r="F100" s="17">
        <v>44.02</v>
      </c>
      <c r="G100" s="18">
        <f t="shared" si="6"/>
        <v>56.217942</v>
      </c>
      <c r="H100" s="18">
        <f t="shared" si="7"/>
        <v>674.615304</v>
      </c>
    </row>
    <row r="101" spans="1:8" s="6" customFormat="1" ht="37.5">
      <c r="A101" s="14" t="s">
        <v>181</v>
      </c>
      <c r="B101" s="25">
        <v>95809</v>
      </c>
      <c r="C101" s="26" t="s">
        <v>182</v>
      </c>
      <c r="D101" s="38">
        <v>2</v>
      </c>
      <c r="E101" s="7" t="s">
        <v>39</v>
      </c>
      <c r="F101" s="17">
        <v>32.31</v>
      </c>
      <c r="G101" s="18">
        <f t="shared" si="6"/>
        <v>41.263101</v>
      </c>
      <c r="H101" s="18">
        <f t="shared" si="7"/>
        <v>82.526202</v>
      </c>
    </row>
    <row r="102" spans="1:8" s="6" customFormat="1" ht="37.5">
      <c r="A102" s="14" t="s">
        <v>183</v>
      </c>
      <c r="B102" s="28" t="s">
        <v>184</v>
      </c>
      <c r="C102" s="26" t="s">
        <v>185</v>
      </c>
      <c r="D102" s="38">
        <v>1</v>
      </c>
      <c r="E102" s="7" t="s">
        <v>39</v>
      </c>
      <c r="F102" s="17">
        <v>238.55</v>
      </c>
      <c r="G102" s="18">
        <f t="shared" si="6"/>
        <v>304.652205</v>
      </c>
      <c r="H102" s="18">
        <f t="shared" si="7"/>
        <v>304.652205</v>
      </c>
    </row>
    <row r="103" spans="1:8" s="6" customFormat="1" ht="37.5">
      <c r="A103" s="14" t="s">
        <v>186</v>
      </c>
      <c r="B103" s="25" t="s">
        <v>187</v>
      </c>
      <c r="C103" s="26" t="s">
        <v>188</v>
      </c>
      <c r="D103" s="38">
        <v>115</v>
      </c>
      <c r="E103" s="7" t="s">
        <v>30</v>
      </c>
      <c r="F103" s="17">
        <v>123.59</v>
      </c>
      <c r="G103" s="18">
        <f t="shared" si="6"/>
        <v>157.83678899999998</v>
      </c>
      <c r="H103" s="18">
        <f t="shared" si="7"/>
        <v>18151.230734999997</v>
      </c>
    </row>
    <row r="104" spans="1:8" s="6" customFormat="1" ht="37.5">
      <c r="A104" s="14" t="s">
        <v>189</v>
      </c>
      <c r="B104" s="25" t="s">
        <v>190</v>
      </c>
      <c r="C104" s="26" t="s">
        <v>191</v>
      </c>
      <c r="D104" s="38">
        <v>6</v>
      </c>
      <c r="E104" s="7" t="s">
        <v>30</v>
      </c>
      <c r="F104" s="17">
        <v>83.92</v>
      </c>
      <c r="G104" s="18">
        <f t="shared" si="6"/>
        <v>107.17423199999999</v>
      </c>
      <c r="H104" s="18">
        <f t="shared" si="7"/>
        <v>643.045392</v>
      </c>
    </row>
    <row r="105" spans="1:8" s="6" customFormat="1" ht="37.5">
      <c r="A105" s="14" t="s">
        <v>192</v>
      </c>
      <c r="B105" s="28">
        <v>91871</v>
      </c>
      <c r="C105" s="26" t="s">
        <v>193</v>
      </c>
      <c r="D105" s="38">
        <v>890</v>
      </c>
      <c r="E105" s="7" t="s">
        <v>30</v>
      </c>
      <c r="F105" s="17">
        <v>12.06</v>
      </c>
      <c r="G105" s="18">
        <f t="shared" si="6"/>
        <v>15.401826</v>
      </c>
      <c r="H105" s="18">
        <f t="shared" si="7"/>
        <v>13707.62514</v>
      </c>
    </row>
    <row r="106" spans="1:8" s="6" customFormat="1" ht="37.5">
      <c r="A106" s="14" t="s">
        <v>194</v>
      </c>
      <c r="B106" s="28">
        <v>91872</v>
      </c>
      <c r="C106" s="26" t="s">
        <v>195</v>
      </c>
      <c r="D106" s="38">
        <v>250</v>
      </c>
      <c r="E106" s="7" t="s">
        <v>30</v>
      </c>
      <c r="F106" s="17">
        <v>15.92</v>
      </c>
      <c r="G106" s="18">
        <f t="shared" si="6"/>
        <v>20.331432</v>
      </c>
      <c r="H106" s="18">
        <f t="shared" si="7"/>
        <v>5082.858</v>
      </c>
    </row>
    <row r="107" spans="1:8" s="6" customFormat="1" ht="15">
      <c r="A107" s="14" t="s">
        <v>196</v>
      </c>
      <c r="B107" s="28">
        <v>93012</v>
      </c>
      <c r="C107" s="26" t="s">
        <v>197</v>
      </c>
      <c r="D107" s="38">
        <v>10</v>
      </c>
      <c r="E107" s="7" t="s">
        <v>30</v>
      </c>
      <c r="F107" s="17">
        <v>68.18</v>
      </c>
      <c r="G107" s="18">
        <f t="shared" si="6"/>
        <v>87.072678</v>
      </c>
      <c r="H107" s="18">
        <f t="shared" si="7"/>
        <v>870.72678</v>
      </c>
    </row>
    <row r="108" spans="1:8" s="6" customFormat="1" ht="37.5">
      <c r="A108" s="14" t="s">
        <v>198</v>
      </c>
      <c r="B108" s="25">
        <v>91884</v>
      </c>
      <c r="C108" s="26" t="s">
        <v>199</v>
      </c>
      <c r="D108" s="38">
        <v>786</v>
      </c>
      <c r="E108" s="7" t="s">
        <v>39</v>
      </c>
      <c r="F108" s="17">
        <v>8.03</v>
      </c>
      <c r="G108" s="18">
        <f t="shared" si="6"/>
        <v>10.255112999999998</v>
      </c>
      <c r="H108" s="18">
        <f t="shared" si="7"/>
        <v>8060.518817999999</v>
      </c>
    </row>
    <row r="109" spans="1:8" s="6" customFormat="1" ht="37.5">
      <c r="A109" s="14" t="s">
        <v>200</v>
      </c>
      <c r="B109" s="25">
        <v>91885</v>
      </c>
      <c r="C109" s="26" t="s">
        <v>201</v>
      </c>
      <c r="D109" s="38">
        <v>74</v>
      </c>
      <c r="E109" s="7" t="s">
        <v>39</v>
      </c>
      <c r="F109" s="17">
        <v>9.58</v>
      </c>
      <c r="G109" s="18">
        <f t="shared" si="6"/>
        <v>12.234618</v>
      </c>
      <c r="H109" s="18">
        <f t="shared" si="7"/>
        <v>905.361732</v>
      </c>
    </row>
    <row r="110" spans="1:8" s="6" customFormat="1" ht="15">
      <c r="A110" s="14" t="s">
        <v>202</v>
      </c>
      <c r="B110" s="25">
        <v>93017</v>
      </c>
      <c r="C110" s="26" t="s">
        <v>203</v>
      </c>
      <c r="D110" s="38">
        <v>4</v>
      </c>
      <c r="E110" s="7" t="s">
        <v>39</v>
      </c>
      <c r="F110" s="17">
        <v>51.95</v>
      </c>
      <c r="G110" s="18">
        <f t="shared" si="6"/>
        <v>66.345345</v>
      </c>
      <c r="H110" s="18">
        <f t="shared" si="7"/>
        <v>265.38138</v>
      </c>
    </row>
    <row r="111" spans="1:8" s="6" customFormat="1" ht="37.5">
      <c r="A111" s="14" t="s">
        <v>204</v>
      </c>
      <c r="B111" s="23">
        <v>91914</v>
      </c>
      <c r="C111" s="21" t="s">
        <v>205</v>
      </c>
      <c r="D111" s="38">
        <v>393</v>
      </c>
      <c r="E111" s="7" t="s">
        <v>39</v>
      </c>
      <c r="F111" s="17">
        <v>13.32</v>
      </c>
      <c r="G111" s="18">
        <f t="shared" si="6"/>
        <v>17.010972</v>
      </c>
      <c r="H111" s="18">
        <f t="shared" si="7"/>
        <v>6685.311995999999</v>
      </c>
    </row>
    <row r="112" spans="1:8" s="6" customFormat="1" ht="37.5">
      <c r="A112" s="14" t="s">
        <v>206</v>
      </c>
      <c r="B112" s="23">
        <v>91917</v>
      </c>
      <c r="C112" s="21" t="s">
        <v>207</v>
      </c>
      <c r="D112" s="38">
        <v>37</v>
      </c>
      <c r="E112" s="7" t="s">
        <v>39</v>
      </c>
      <c r="F112" s="17">
        <v>16.52</v>
      </c>
      <c r="G112" s="18">
        <f t="shared" si="6"/>
        <v>21.097692</v>
      </c>
      <c r="H112" s="18">
        <f t="shared" si="7"/>
        <v>780.614604</v>
      </c>
    </row>
    <row r="113" spans="1:8" s="6" customFormat="1" ht="37.5">
      <c r="A113" s="14" t="s">
        <v>208</v>
      </c>
      <c r="B113" s="23">
        <v>93026</v>
      </c>
      <c r="C113" s="21" t="s">
        <v>209</v>
      </c>
      <c r="D113" s="38">
        <v>2</v>
      </c>
      <c r="E113" s="7" t="s">
        <v>39</v>
      </c>
      <c r="F113" s="17">
        <v>86.89</v>
      </c>
      <c r="G113" s="18">
        <f t="shared" si="6"/>
        <v>110.96721899999999</v>
      </c>
      <c r="H113" s="18">
        <f t="shared" si="7"/>
        <v>221.93443799999997</v>
      </c>
    </row>
    <row r="114" spans="1:8" s="6" customFormat="1" ht="37.5">
      <c r="A114" s="14" t="s">
        <v>210</v>
      </c>
      <c r="B114" s="23" t="s">
        <v>211</v>
      </c>
      <c r="C114" s="21" t="s">
        <v>212</v>
      </c>
      <c r="D114" s="38">
        <v>33</v>
      </c>
      <c r="E114" s="7" t="s">
        <v>39</v>
      </c>
      <c r="F114" s="17">
        <v>14.35</v>
      </c>
      <c r="G114" s="18">
        <f t="shared" si="6"/>
        <v>18.326385</v>
      </c>
      <c r="H114" s="18">
        <f t="shared" si="7"/>
        <v>604.7707049999999</v>
      </c>
    </row>
    <row r="115" spans="1:8" s="6" customFormat="1" ht="37.5">
      <c r="A115" s="14" t="s">
        <v>213</v>
      </c>
      <c r="B115" s="23" t="s">
        <v>214</v>
      </c>
      <c r="C115" s="21" t="s">
        <v>215</v>
      </c>
      <c r="D115" s="38">
        <v>50</v>
      </c>
      <c r="E115" s="7" t="s">
        <v>39</v>
      </c>
      <c r="F115" s="17">
        <v>14.1</v>
      </c>
      <c r="G115" s="18">
        <f t="shared" si="6"/>
        <v>18.007109999999997</v>
      </c>
      <c r="H115" s="18">
        <f t="shared" si="7"/>
        <v>900.3554999999999</v>
      </c>
    </row>
    <row r="116" spans="1:8" s="6" customFormat="1" ht="37.5">
      <c r="A116" s="14" t="s">
        <v>216</v>
      </c>
      <c r="B116" s="25" t="s">
        <v>217</v>
      </c>
      <c r="C116" s="26" t="s">
        <v>218</v>
      </c>
      <c r="D116" s="38">
        <v>7</v>
      </c>
      <c r="E116" s="7" t="s">
        <v>39</v>
      </c>
      <c r="F116" s="17">
        <v>110.47</v>
      </c>
      <c r="G116" s="18">
        <f t="shared" si="6"/>
        <v>141.081237</v>
      </c>
      <c r="H116" s="18">
        <f t="shared" si="7"/>
        <v>987.5686589999999</v>
      </c>
    </row>
    <row r="117" spans="1:8" s="6" customFormat="1" ht="37.5">
      <c r="A117" s="14" t="s">
        <v>219</v>
      </c>
      <c r="B117" s="25" t="s">
        <v>220</v>
      </c>
      <c r="C117" s="26" t="s">
        <v>221</v>
      </c>
      <c r="D117" s="38">
        <v>3</v>
      </c>
      <c r="E117" s="7" t="s">
        <v>39</v>
      </c>
      <c r="F117" s="17">
        <v>96.74</v>
      </c>
      <c r="G117" s="18">
        <f t="shared" si="6"/>
        <v>123.54665399999999</v>
      </c>
      <c r="H117" s="18">
        <f t="shared" si="7"/>
        <v>370.63996199999997</v>
      </c>
    </row>
    <row r="118" spans="1:8" s="6" customFormat="1" ht="37.5">
      <c r="A118" s="14" t="s">
        <v>222</v>
      </c>
      <c r="B118" s="25" t="s">
        <v>223</v>
      </c>
      <c r="C118" s="26" t="s">
        <v>224</v>
      </c>
      <c r="D118" s="38">
        <v>8</v>
      </c>
      <c r="E118" s="7" t="s">
        <v>39</v>
      </c>
      <c r="F118" s="17">
        <v>106.82</v>
      </c>
      <c r="G118" s="18">
        <f t="shared" si="6"/>
        <v>136.41982199999998</v>
      </c>
      <c r="H118" s="18">
        <f t="shared" si="7"/>
        <v>1091.3585759999999</v>
      </c>
    </row>
    <row r="119" spans="1:8" s="6" customFormat="1" ht="37.5">
      <c r="A119" s="14" t="s">
        <v>225</v>
      </c>
      <c r="B119" s="25" t="s">
        <v>226</v>
      </c>
      <c r="C119" s="26" t="s">
        <v>227</v>
      </c>
      <c r="D119" s="38">
        <v>6</v>
      </c>
      <c r="E119" s="7" t="s">
        <v>39</v>
      </c>
      <c r="F119" s="17">
        <v>132.81</v>
      </c>
      <c r="G119" s="18">
        <f t="shared" si="6"/>
        <v>169.611651</v>
      </c>
      <c r="H119" s="18">
        <f t="shared" si="7"/>
        <v>1017.669906</v>
      </c>
    </row>
    <row r="120" spans="1:8" s="6" customFormat="1" ht="37.5">
      <c r="A120" s="14" t="s">
        <v>228</v>
      </c>
      <c r="B120" s="25" t="s">
        <v>229</v>
      </c>
      <c r="C120" s="26" t="s">
        <v>230</v>
      </c>
      <c r="D120" s="38">
        <v>2</v>
      </c>
      <c r="E120" s="7" t="s">
        <v>39</v>
      </c>
      <c r="F120" s="17">
        <v>81.65</v>
      </c>
      <c r="G120" s="18">
        <f t="shared" si="6"/>
        <v>104.275215</v>
      </c>
      <c r="H120" s="18">
        <f t="shared" si="7"/>
        <v>208.55043</v>
      </c>
    </row>
    <row r="121" spans="1:8" s="6" customFormat="1" ht="15">
      <c r="A121" s="14" t="s">
        <v>231</v>
      </c>
      <c r="B121" s="25">
        <v>90447</v>
      </c>
      <c r="C121" s="26" t="s">
        <v>232</v>
      </c>
      <c r="D121" s="38">
        <v>200</v>
      </c>
      <c r="E121" s="7" t="s">
        <v>30</v>
      </c>
      <c r="F121" s="17">
        <v>5.09</v>
      </c>
      <c r="G121" s="18">
        <f t="shared" si="6"/>
        <v>6.500438999999999</v>
      </c>
      <c r="H121" s="18">
        <f t="shared" si="7"/>
        <v>1300.0877999999998</v>
      </c>
    </row>
    <row r="122" spans="1:8" s="6" customFormat="1" ht="37.5">
      <c r="A122" s="14" t="s">
        <v>233</v>
      </c>
      <c r="B122" s="25">
        <v>90466</v>
      </c>
      <c r="C122" s="26" t="s">
        <v>133</v>
      </c>
      <c r="D122" s="38">
        <v>200</v>
      </c>
      <c r="E122" s="7" t="s">
        <v>30</v>
      </c>
      <c r="F122" s="17">
        <v>10.48</v>
      </c>
      <c r="G122" s="18">
        <f t="shared" si="6"/>
        <v>13.384008</v>
      </c>
      <c r="H122" s="18">
        <f t="shared" si="7"/>
        <v>2676.8016</v>
      </c>
    </row>
    <row r="123" spans="1:8" s="6" customFormat="1" ht="37.5">
      <c r="A123" s="14" t="s">
        <v>234</v>
      </c>
      <c r="B123" s="25">
        <v>91926</v>
      </c>
      <c r="C123" s="26" t="s">
        <v>235</v>
      </c>
      <c r="D123" s="38">
        <v>5800</v>
      </c>
      <c r="E123" s="7" t="s">
        <v>30</v>
      </c>
      <c r="F123" s="17">
        <v>4.1</v>
      </c>
      <c r="G123" s="18">
        <f t="shared" si="6"/>
        <v>5.236109999999999</v>
      </c>
      <c r="H123" s="18">
        <f t="shared" si="7"/>
        <v>30369.437999999995</v>
      </c>
    </row>
    <row r="124" spans="1:8" s="6" customFormat="1" ht="37.5">
      <c r="A124" s="14" t="s">
        <v>236</v>
      </c>
      <c r="B124" s="25">
        <v>91928</v>
      </c>
      <c r="C124" s="26" t="s">
        <v>237</v>
      </c>
      <c r="D124" s="38">
        <v>1200</v>
      </c>
      <c r="E124" s="7" t="s">
        <v>30</v>
      </c>
      <c r="F124" s="17">
        <v>6.79</v>
      </c>
      <c r="G124" s="18">
        <f aca="true" t="shared" si="8" ref="G124:G155">F124*1.2771</f>
        <v>8.671508999999999</v>
      </c>
      <c r="H124" s="18">
        <f aca="true" t="shared" si="9" ref="H124:H155">D124*G124</f>
        <v>10405.810799999997</v>
      </c>
    </row>
    <row r="125" spans="1:9" s="6" customFormat="1" ht="37.5">
      <c r="A125" s="14" t="s">
        <v>238</v>
      </c>
      <c r="B125" s="25">
        <v>91930</v>
      </c>
      <c r="C125" s="26" t="s">
        <v>239</v>
      </c>
      <c r="D125" s="38">
        <v>1700</v>
      </c>
      <c r="E125" s="7" t="s">
        <v>30</v>
      </c>
      <c r="F125" s="17">
        <v>9.32</v>
      </c>
      <c r="G125" s="18">
        <f t="shared" si="8"/>
        <v>11.902572</v>
      </c>
      <c r="H125" s="18">
        <f t="shared" si="9"/>
        <v>20234.3724</v>
      </c>
      <c r="I125" s="6">
        <f>SUM(H123:H125)</f>
        <v>61009.621199999994</v>
      </c>
    </row>
    <row r="126" spans="1:8" s="6" customFormat="1" ht="37.5">
      <c r="A126" s="14" t="s">
        <v>240</v>
      </c>
      <c r="B126" s="25">
        <v>91935</v>
      </c>
      <c r="C126" s="26" t="s">
        <v>241</v>
      </c>
      <c r="D126" s="38">
        <v>500</v>
      </c>
      <c r="E126" s="7" t="s">
        <v>30</v>
      </c>
      <c r="F126" s="17">
        <v>25.28</v>
      </c>
      <c r="G126" s="18">
        <f t="shared" si="8"/>
        <v>32.285088</v>
      </c>
      <c r="H126" s="18">
        <f t="shared" si="9"/>
        <v>16142.544000000002</v>
      </c>
    </row>
    <row r="127" spans="1:9" s="6" customFormat="1" ht="37.5">
      <c r="A127" s="14" t="s">
        <v>242</v>
      </c>
      <c r="B127" s="25">
        <v>92984</v>
      </c>
      <c r="C127" s="26" t="s">
        <v>243</v>
      </c>
      <c r="D127" s="38">
        <v>1900</v>
      </c>
      <c r="E127" s="7" t="s">
        <v>30</v>
      </c>
      <c r="F127" s="17">
        <v>29.19</v>
      </c>
      <c r="G127" s="18">
        <f t="shared" si="8"/>
        <v>37.278549</v>
      </c>
      <c r="H127" s="18">
        <f t="shared" si="9"/>
        <v>70829.24309999999</v>
      </c>
      <c r="I127" s="6">
        <f>SUM(H126:H127)</f>
        <v>86971.78709999999</v>
      </c>
    </row>
    <row r="128" spans="1:8" s="6" customFormat="1" ht="37.5">
      <c r="A128" s="14" t="s">
        <v>244</v>
      </c>
      <c r="B128" s="25">
        <v>93655</v>
      </c>
      <c r="C128" s="26" t="s">
        <v>245</v>
      </c>
      <c r="D128" s="38">
        <v>85</v>
      </c>
      <c r="E128" s="7" t="s">
        <v>39</v>
      </c>
      <c r="F128" s="17">
        <v>13.29</v>
      </c>
      <c r="G128" s="18">
        <f t="shared" si="8"/>
        <v>16.972658999999997</v>
      </c>
      <c r="H128" s="18">
        <f t="shared" si="9"/>
        <v>1442.6760149999998</v>
      </c>
    </row>
    <row r="129" spans="1:8" s="6" customFormat="1" ht="37.5">
      <c r="A129" s="14" t="s">
        <v>246</v>
      </c>
      <c r="B129" s="25">
        <v>93657</v>
      </c>
      <c r="C129" s="26" t="s">
        <v>247</v>
      </c>
      <c r="D129" s="38">
        <v>37</v>
      </c>
      <c r="E129" s="7" t="s">
        <v>39</v>
      </c>
      <c r="F129" s="17">
        <v>14.57</v>
      </c>
      <c r="G129" s="18">
        <f t="shared" si="8"/>
        <v>18.607346999999997</v>
      </c>
      <c r="H129" s="18">
        <f t="shared" si="9"/>
        <v>688.4718389999999</v>
      </c>
    </row>
    <row r="130" spans="1:8" s="6" customFormat="1" ht="15">
      <c r="A130" s="14" t="s">
        <v>248</v>
      </c>
      <c r="B130" s="25">
        <v>101894</v>
      </c>
      <c r="C130" s="26" t="s">
        <v>249</v>
      </c>
      <c r="D130" s="38">
        <v>12</v>
      </c>
      <c r="E130" s="7" t="s">
        <v>39</v>
      </c>
      <c r="F130" s="17">
        <v>153.79</v>
      </c>
      <c r="G130" s="18">
        <f t="shared" si="8"/>
        <v>196.40520899999999</v>
      </c>
      <c r="H130" s="18">
        <f t="shared" si="9"/>
        <v>2356.8625079999997</v>
      </c>
    </row>
    <row r="131" spans="1:8" s="6" customFormat="1" ht="15">
      <c r="A131" s="14" t="s">
        <v>250</v>
      </c>
      <c r="B131" s="25" t="s">
        <v>251</v>
      </c>
      <c r="C131" s="26" t="s">
        <v>252</v>
      </c>
      <c r="D131" s="38">
        <v>37</v>
      </c>
      <c r="E131" s="7" t="s">
        <v>39</v>
      </c>
      <c r="F131" s="17">
        <v>155.9</v>
      </c>
      <c r="G131" s="18">
        <f t="shared" si="8"/>
        <v>199.09989</v>
      </c>
      <c r="H131" s="18">
        <f t="shared" si="9"/>
        <v>7366.69593</v>
      </c>
    </row>
    <row r="132" spans="1:8" s="6" customFormat="1" ht="37.5">
      <c r="A132" s="14" t="s">
        <v>253</v>
      </c>
      <c r="B132" s="25">
        <v>91953</v>
      </c>
      <c r="C132" s="26" t="s">
        <v>254</v>
      </c>
      <c r="D132" s="38">
        <v>35</v>
      </c>
      <c r="E132" s="7" t="s">
        <v>39</v>
      </c>
      <c r="F132" s="17">
        <v>23.65</v>
      </c>
      <c r="G132" s="18">
        <f t="shared" si="8"/>
        <v>30.203414999999996</v>
      </c>
      <c r="H132" s="18">
        <f t="shared" si="9"/>
        <v>1057.1195249999998</v>
      </c>
    </row>
    <row r="133" spans="1:8" s="6" customFormat="1" ht="37.5">
      <c r="A133" s="14" t="s">
        <v>255</v>
      </c>
      <c r="B133" s="25">
        <v>91959</v>
      </c>
      <c r="C133" s="26" t="s">
        <v>256</v>
      </c>
      <c r="D133" s="38">
        <v>26</v>
      </c>
      <c r="E133" s="7" t="s">
        <v>39</v>
      </c>
      <c r="F133" s="17">
        <v>37.44</v>
      </c>
      <c r="G133" s="18">
        <f t="shared" si="8"/>
        <v>47.814623999999995</v>
      </c>
      <c r="H133" s="18">
        <f t="shared" si="9"/>
        <v>1243.180224</v>
      </c>
    </row>
    <row r="134" spans="1:8" s="6" customFormat="1" ht="37.5">
      <c r="A134" s="14" t="s">
        <v>257</v>
      </c>
      <c r="B134" s="25">
        <v>91967</v>
      </c>
      <c r="C134" s="26" t="s">
        <v>258</v>
      </c>
      <c r="D134" s="38">
        <v>8</v>
      </c>
      <c r="E134" s="7" t="s">
        <v>39</v>
      </c>
      <c r="F134" s="17">
        <v>51.25</v>
      </c>
      <c r="G134" s="18">
        <f t="shared" si="8"/>
        <v>65.451375</v>
      </c>
      <c r="H134" s="18">
        <f t="shared" si="9"/>
        <v>523.611</v>
      </c>
    </row>
    <row r="135" spans="1:8" s="6" customFormat="1" ht="37.5">
      <c r="A135" s="14" t="s">
        <v>259</v>
      </c>
      <c r="B135" s="25">
        <v>91996</v>
      </c>
      <c r="C135" s="26" t="s">
        <v>260</v>
      </c>
      <c r="D135" s="38">
        <v>59</v>
      </c>
      <c r="E135" s="7" t="s">
        <v>39</v>
      </c>
      <c r="F135" s="17">
        <v>28.02</v>
      </c>
      <c r="G135" s="18">
        <f t="shared" si="8"/>
        <v>35.784341999999995</v>
      </c>
      <c r="H135" s="18">
        <f t="shared" si="9"/>
        <v>2111.2761779999996</v>
      </c>
    </row>
    <row r="136" spans="1:8" s="6" customFormat="1" ht="37.5">
      <c r="A136" s="14" t="s">
        <v>261</v>
      </c>
      <c r="B136" s="25">
        <v>91993</v>
      </c>
      <c r="C136" s="26" t="s">
        <v>262</v>
      </c>
      <c r="D136" s="38">
        <v>15</v>
      </c>
      <c r="E136" s="7" t="s">
        <v>39</v>
      </c>
      <c r="F136" s="17">
        <v>37.97</v>
      </c>
      <c r="G136" s="18">
        <f t="shared" si="8"/>
        <v>48.49148699999999</v>
      </c>
      <c r="H136" s="18">
        <f t="shared" si="9"/>
        <v>727.3723049999999</v>
      </c>
    </row>
    <row r="137" spans="1:8" s="6" customFormat="1" ht="37.5">
      <c r="A137" s="14" t="s">
        <v>263</v>
      </c>
      <c r="B137" s="25">
        <v>92000</v>
      </c>
      <c r="C137" s="26" t="s">
        <v>264</v>
      </c>
      <c r="D137" s="38">
        <v>46</v>
      </c>
      <c r="E137" s="7" t="s">
        <v>39</v>
      </c>
      <c r="F137" s="17">
        <v>25.03</v>
      </c>
      <c r="G137" s="18">
        <f t="shared" si="8"/>
        <v>31.965813</v>
      </c>
      <c r="H137" s="18">
        <f t="shared" si="9"/>
        <v>1470.427398</v>
      </c>
    </row>
    <row r="138" spans="1:8" s="6" customFormat="1" ht="37.5">
      <c r="A138" s="14" t="s">
        <v>265</v>
      </c>
      <c r="B138" s="25">
        <v>92004</v>
      </c>
      <c r="C138" s="26" t="s">
        <v>266</v>
      </c>
      <c r="D138" s="38">
        <v>108</v>
      </c>
      <c r="E138" s="7" t="s">
        <v>39</v>
      </c>
      <c r="F138" s="17">
        <v>46.16</v>
      </c>
      <c r="G138" s="18">
        <f t="shared" si="8"/>
        <v>58.95093599999999</v>
      </c>
      <c r="H138" s="18">
        <f t="shared" si="9"/>
        <v>6366.701087999999</v>
      </c>
    </row>
    <row r="139" spans="1:8" s="6" customFormat="1" ht="37.5">
      <c r="A139" s="14" t="s">
        <v>267</v>
      </c>
      <c r="B139" s="25">
        <v>92008</v>
      </c>
      <c r="C139" s="26" t="s">
        <v>268</v>
      </c>
      <c r="D139" s="38">
        <v>18</v>
      </c>
      <c r="E139" s="7" t="s">
        <v>39</v>
      </c>
      <c r="F139" s="17">
        <v>40.17</v>
      </c>
      <c r="G139" s="18">
        <f t="shared" si="8"/>
        <v>51.301107</v>
      </c>
      <c r="H139" s="18">
        <f t="shared" si="9"/>
        <v>923.419926</v>
      </c>
    </row>
    <row r="140" spans="1:8" s="6" customFormat="1" ht="37.5">
      <c r="A140" s="14" t="s">
        <v>269</v>
      </c>
      <c r="B140" s="25">
        <v>91997</v>
      </c>
      <c r="C140" s="26" t="s">
        <v>270</v>
      </c>
      <c r="D140" s="38">
        <v>5</v>
      </c>
      <c r="E140" s="7" t="s">
        <v>39</v>
      </c>
      <c r="F140" s="17">
        <v>30.25</v>
      </c>
      <c r="G140" s="18">
        <f t="shared" si="8"/>
        <v>38.632275</v>
      </c>
      <c r="H140" s="18">
        <f t="shared" si="9"/>
        <v>193.161375</v>
      </c>
    </row>
    <row r="141" spans="1:8" s="6" customFormat="1" ht="37.5">
      <c r="A141" s="14" t="s">
        <v>271</v>
      </c>
      <c r="B141" s="14" t="s">
        <v>272</v>
      </c>
      <c r="C141" s="21" t="s">
        <v>273</v>
      </c>
      <c r="D141" s="16">
        <v>56</v>
      </c>
      <c r="E141" s="7" t="s">
        <v>39</v>
      </c>
      <c r="F141" s="17">
        <v>273.86</v>
      </c>
      <c r="G141" s="18">
        <f t="shared" si="8"/>
        <v>349.746606</v>
      </c>
      <c r="H141" s="18">
        <f t="shared" si="9"/>
        <v>19585.809935999998</v>
      </c>
    </row>
    <row r="142" spans="1:8" s="6" customFormat="1" ht="37.5">
      <c r="A142" s="14" t="s">
        <v>274</v>
      </c>
      <c r="B142" s="25">
        <v>97599</v>
      </c>
      <c r="C142" s="26" t="s">
        <v>275</v>
      </c>
      <c r="D142" s="38">
        <v>5</v>
      </c>
      <c r="E142" s="7" t="s">
        <v>39</v>
      </c>
      <c r="F142" s="17">
        <v>27.85</v>
      </c>
      <c r="G142" s="18">
        <f t="shared" si="8"/>
        <v>35.567235</v>
      </c>
      <c r="H142" s="18">
        <f t="shared" si="9"/>
        <v>177.83617499999997</v>
      </c>
    </row>
    <row r="143" spans="1:8" s="6" customFormat="1" ht="15">
      <c r="A143" s="14" t="s">
        <v>276</v>
      </c>
      <c r="B143" s="25" t="s">
        <v>277</v>
      </c>
      <c r="C143" s="26" t="s">
        <v>278</v>
      </c>
      <c r="D143" s="38">
        <v>16</v>
      </c>
      <c r="E143" s="7" t="s">
        <v>39</v>
      </c>
      <c r="F143" s="17">
        <v>118.24</v>
      </c>
      <c r="G143" s="18">
        <f t="shared" si="8"/>
        <v>151.004304</v>
      </c>
      <c r="H143" s="18">
        <f t="shared" si="9"/>
        <v>2416.068864</v>
      </c>
    </row>
    <row r="144" spans="1:8" s="6" customFormat="1" ht="15">
      <c r="A144" s="14" t="s">
        <v>279</v>
      </c>
      <c r="B144" s="25" t="s">
        <v>280</v>
      </c>
      <c r="C144" s="26" t="s">
        <v>281</v>
      </c>
      <c r="D144" s="38">
        <v>27</v>
      </c>
      <c r="E144" s="7" t="s">
        <v>39</v>
      </c>
      <c r="F144" s="17">
        <v>80.16</v>
      </c>
      <c r="G144" s="18">
        <f t="shared" si="8"/>
        <v>102.37233599999999</v>
      </c>
      <c r="H144" s="18">
        <f t="shared" si="9"/>
        <v>2764.0530719999997</v>
      </c>
    </row>
    <row r="145" spans="1:8" s="6" customFormat="1" ht="17.45" customHeight="1">
      <c r="A145" s="14"/>
      <c r="B145" s="39"/>
      <c r="C145" s="251" t="s">
        <v>282</v>
      </c>
      <c r="D145" s="251"/>
      <c r="E145" s="251"/>
      <c r="F145" s="251"/>
      <c r="G145" s="251">
        <f t="shared" si="8"/>
        <v>0</v>
      </c>
      <c r="H145" s="251">
        <f t="shared" si="9"/>
        <v>0</v>
      </c>
    </row>
    <row r="146" spans="1:8" s="6" customFormat="1" ht="37.5">
      <c r="A146" s="14" t="s">
        <v>283</v>
      </c>
      <c r="B146" s="25" t="s">
        <v>284</v>
      </c>
      <c r="C146" s="26" t="s">
        <v>285</v>
      </c>
      <c r="D146" s="38">
        <v>40</v>
      </c>
      <c r="E146" s="7" t="s">
        <v>30</v>
      </c>
      <c r="F146" s="17">
        <v>95.06</v>
      </c>
      <c r="G146" s="18">
        <f t="shared" si="8"/>
        <v>121.40112599999999</v>
      </c>
      <c r="H146" s="18">
        <f t="shared" si="9"/>
        <v>4856.04504</v>
      </c>
    </row>
    <row r="147" spans="1:8" s="6" customFormat="1" ht="15">
      <c r="A147" s="14" t="s">
        <v>286</v>
      </c>
      <c r="B147" s="25" t="s">
        <v>211</v>
      </c>
      <c r="C147" s="26" t="s">
        <v>212</v>
      </c>
      <c r="D147" s="38">
        <v>25</v>
      </c>
      <c r="E147" s="7" t="s">
        <v>39</v>
      </c>
      <c r="F147" s="17">
        <v>14.35</v>
      </c>
      <c r="G147" s="18">
        <f t="shared" si="8"/>
        <v>18.326385</v>
      </c>
      <c r="H147" s="18">
        <f t="shared" si="9"/>
        <v>458.15962499999995</v>
      </c>
    </row>
    <row r="148" spans="1:8" s="6" customFormat="1" ht="37.5">
      <c r="A148" s="14" t="s">
        <v>287</v>
      </c>
      <c r="B148" s="25" t="s">
        <v>288</v>
      </c>
      <c r="C148" s="26" t="s">
        <v>289</v>
      </c>
      <c r="D148" s="38">
        <v>1</v>
      </c>
      <c r="E148" s="7" t="s">
        <v>39</v>
      </c>
      <c r="F148" s="17">
        <v>108.65</v>
      </c>
      <c r="G148" s="18">
        <f t="shared" si="8"/>
        <v>138.756915</v>
      </c>
      <c r="H148" s="18">
        <f t="shared" si="9"/>
        <v>138.756915</v>
      </c>
    </row>
    <row r="149" spans="1:8" s="6" customFormat="1" ht="37.5">
      <c r="A149" s="14" t="s">
        <v>290</v>
      </c>
      <c r="B149" s="25" t="s">
        <v>291</v>
      </c>
      <c r="C149" s="26" t="s">
        <v>292</v>
      </c>
      <c r="D149" s="38">
        <v>1</v>
      </c>
      <c r="E149" s="7" t="s">
        <v>39</v>
      </c>
      <c r="F149" s="17">
        <v>93.65</v>
      </c>
      <c r="G149" s="18">
        <f t="shared" si="8"/>
        <v>119.600415</v>
      </c>
      <c r="H149" s="18">
        <f t="shared" si="9"/>
        <v>119.600415</v>
      </c>
    </row>
    <row r="150" spans="1:8" s="6" customFormat="1" ht="37.5">
      <c r="A150" s="14" t="s">
        <v>293</v>
      </c>
      <c r="B150" s="25">
        <v>91872</v>
      </c>
      <c r="C150" s="26" t="s">
        <v>195</v>
      </c>
      <c r="D150" s="38">
        <v>280</v>
      </c>
      <c r="E150" s="7" t="s">
        <v>30</v>
      </c>
      <c r="F150" s="17">
        <v>15.92</v>
      </c>
      <c r="G150" s="18">
        <f t="shared" si="8"/>
        <v>20.331432</v>
      </c>
      <c r="H150" s="18">
        <f t="shared" si="9"/>
        <v>5692.80096</v>
      </c>
    </row>
    <row r="151" spans="1:8" s="6" customFormat="1" ht="37.5">
      <c r="A151" s="14" t="s">
        <v>294</v>
      </c>
      <c r="B151" s="25">
        <v>91885</v>
      </c>
      <c r="C151" s="26" t="s">
        <v>201</v>
      </c>
      <c r="D151" s="38">
        <v>90</v>
      </c>
      <c r="E151" s="7" t="s">
        <v>39</v>
      </c>
      <c r="F151" s="17">
        <v>9.58</v>
      </c>
      <c r="G151" s="18">
        <f t="shared" si="8"/>
        <v>12.234618</v>
      </c>
      <c r="H151" s="18">
        <f t="shared" si="9"/>
        <v>1101.11562</v>
      </c>
    </row>
    <row r="152" spans="1:8" s="6" customFormat="1" ht="37.5">
      <c r="A152" s="14" t="s">
        <v>295</v>
      </c>
      <c r="B152" s="25">
        <v>91917</v>
      </c>
      <c r="C152" s="26" t="s">
        <v>207</v>
      </c>
      <c r="D152" s="38">
        <v>30</v>
      </c>
      <c r="E152" s="7" t="s">
        <v>39</v>
      </c>
      <c r="F152" s="17">
        <v>16.52</v>
      </c>
      <c r="G152" s="18">
        <f t="shared" si="8"/>
        <v>21.097692</v>
      </c>
      <c r="H152" s="18">
        <f t="shared" si="9"/>
        <v>632.93076</v>
      </c>
    </row>
    <row r="153" spans="1:8" s="6" customFormat="1" ht="15">
      <c r="A153" s="14" t="s">
        <v>296</v>
      </c>
      <c r="B153" s="25">
        <v>90447</v>
      </c>
      <c r="C153" s="26" t="s">
        <v>232</v>
      </c>
      <c r="D153" s="38">
        <v>160</v>
      </c>
      <c r="E153" s="7" t="s">
        <v>30</v>
      </c>
      <c r="F153" s="17">
        <v>5.09</v>
      </c>
      <c r="G153" s="18">
        <f t="shared" si="8"/>
        <v>6.500438999999999</v>
      </c>
      <c r="H153" s="18">
        <f t="shared" si="9"/>
        <v>1040.0702399999998</v>
      </c>
    </row>
    <row r="154" spans="1:8" s="6" customFormat="1" ht="37.5">
      <c r="A154" s="14" t="s">
        <v>297</v>
      </c>
      <c r="B154" s="25">
        <v>90466</v>
      </c>
      <c r="C154" s="26" t="s">
        <v>133</v>
      </c>
      <c r="D154" s="38">
        <v>160</v>
      </c>
      <c r="E154" s="7" t="s">
        <v>30</v>
      </c>
      <c r="F154" s="17">
        <v>10.48</v>
      </c>
      <c r="G154" s="18">
        <f t="shared" si="8"/>
        <v>13.384008</v>
      </c>
      <c r="H154" s="18">
        <f t="shared" si="9"/>
        <v>2141.44128</v>
      </c>
    </row>
    <row r="155" spans="1:10" s="6" customFormat="1" ht="37.5">
      <c r="A155" s="14" t="s">
        <v>298</v>
      </c>
      <c r="B155" s="25">
        <v>91943</v>
      </c>
      <c r="C155" s="26" t="s">
        <v>174</v>
      </c>
      <c r="D155" s="38">
        <v>5</v>
      </c>
      <c r="E155" s="7" t="s">
        <v>39</v>
      </c>
      <c r="F155" s="17">
        <v>18.35</v>
      </c>
      <c r="G155" s="18">
        <f t="shared" si="8"/>
        <v>23.434785</v>
      </c>
      <c r="H155" s="18">
        <f t="shared" si="9"/>
        <v>117.17392500000001</v>
      </c>
      <c r="J155" s="6">
        <f>SUM(H146:H162)</f>
        <v>32407.778996999998</v>
      </c>
    </row>
    <row r="156" spans="1:8" s="6" customFormat="1" ht="37.5">
      <c r="A156" s="14" t="s">
        <v>299</v>
      </c>
      <c r="B156" s="25">
        <v>91940</v>
      </c>
      <c r="C156" s="26" t="s">
        <v>300</v>
      </c>
      <c r="D156" s="38">
        <v>52</v>
      </c>
      <c r="E156" s="7" t="s">
        <v>39</v>
      </c>
      <c r="F156" s="17">
        <v>13.69</v>
      </c>
      <c r="G156" s="18">
        <f aca="true" t="shared" si="10" ref="G156:G186">F156*1.2771</f>
        <v>17.483499</v>
      </c>
      <c r="H156" s="18">
        <f aca="true" t="shared" si="11" ref="H156:H186">D156*G156</f>
        <v>909.141948</v>
      </c>
    </row>
    <row r="157" spans="1:8" s="6" customFormat="1" ht="15">
      <c r="A157" s="14" t="s">
        <v>301</v>
      </c>
      <c r="B157" s="25" t="s">
        <v>302</v>
      </c>
      <c r="C157" s="26" t="s">
        <v>303</v>
      </c>
      <c r="D157" s="38">
        <v>90</v>
      </c>
      <c r="E157" s="7" t="s">
        <v>30</v>
      </c>
      <c r="F157" s="17">
        <v>10.83</v>
      </c>
      <c r="G157" s="18">
        <f t="shared" si="10"/>
        <v>13.830993</v>
      </c>
      <c r="H157" s="18">
        <f t="shared" si="11"/>
        <v>1244.78937</v>
      </c>
    </row>
    <row r="158" spans="1:8" s="6" customFormat="1" ht="15">
      <c r="A158" s="14" t="s">
        <v>304</v>
      </c>
      <c r="B158" s="25" t="s">
        <v>305</v>
      </c>
      <c r="C158" s="26" t="s">
        <v>306</v>
      </c>
      <c r="D158" s="38">
        <v>2</v>
      </c>
      <c r="E158" s="7" t="s">
        <v>307</v>
      </c>
      <c r="F158" s="17">
        <v>109.13</v>
      </c>
      <c r="G158" s="18">
        <f t="shared" si="10"/>
        <v>139.36992299999997</v>
      </c>
      <c r="H158" s="18">
        <f t="shared" si="11"/>
        <v>278.73984599999994</v>
      </c>
    </row>
    <row r="159" spans="1:8" s="6" customFormat="1" ht="15">
      <c r="A159" s="14" t="s">
        <v>308</v>
      </c>
      <c r="B159" s="25" t="s">
        <v>309</v>
      </c>
      <c r="C159" s="26" t="s">
        <v>310</v>
      </c>
      <c r="D159" s="40">
        <v>2</v>
      </c>
      <c r="E159" s="41" t="s">
        <v>39</v>
      </c>
      <c r="F159" s="17">
        <v>510</v>
      </c>
      <c r="G159" s="18">
        <f t="shared" si="10"/>
        <v>651.3209999999999</v>
      </c>
      <c r="H159" s="18">
        <f t="shared" si="11"/>
        <v>1302.6419999999998</v>
      </c>
    </row>
    <row r="160" spans="1:8" s="6" customFormat="1" ht="15">
      <c r="A160" s="14" t="s">
        <v>311</v>
      </c>
      <c r="B160" s="25">
        <v>98302</v>
      </c>
      <c r="C160" s="26" t="s">
        <v>312</v>
      </c>
      <c r="D160" s="38">
        <v>3</v>
      </c>
      <c r="E160" s="7" t="s">
        <v>39</v>
      </c>
      <c r="F160" s="17">
        <v>732.53</v>
      </c>
      <c r="G160" s="18">
        <f t="shared" si="10"/>
        <v>935.5140629999999</v>
      </c>
      <c r="H160" s="18">
        <f t="shared" si="11"/>
        <v>2806.542189</v>
      </c>
    </row>
    <row r="161" spans="1:8" s="6" customFormat="1" ht="15">
      <c r="A161" s="14" t="s">
        <v>313</v>
      </c>
      <c r="B161" s="25">
        <v>98307</v>
      </c>
      <c r="C161" s="26" t="s">
        <v>314</v>
      </c>
      <c r="D161" s="38">
        <v>64</v>
      </c>
      <c r="E161" s="7" t="s">
        <v>39</v>
      </c>
      <c r="F161" s="42">
        <v>47.31</v>
      </c>
      <c r="G161" s="18">
        <f t="shared" si="10"/>
        <v>60.419601</v>
      </c>
      <c r="H161" s="18">
        <f t="shared" si="11"/>
        <v>3866.854464</v>
      </c>
    </row>
    <row r="162" spans="1:8" s="6" customFormat="1" ht="37.5">
      <c r="A162" s="14" t="s">
        <v>315</v>
      </c>
      <c r="B162" s="25">
        <v>98297</v>
      </c>
      <c r="C162" s="26" t="s">
        <v>316</v>
      </c>
      <c r="D162" s="38">
        <v>1600</v>
      </c>
      <c r="E162" s="7" t="s">
        <v>30</v>
      </c>
      <c r="F162" s="17">
        <v>2.79</v>
      </c>
      <c r="G162" s="18">
        <f t="shared" si="10"/>
        <v>3.563109</v>
      </c>
      <c r="H162" s="18">
        <f t="shared" si="11"/>
        <v>5700.9744</v>
      </c>
    </row>
    <row r="163" spans="1:8" s="6" customFormat="1" ht="17.45" customHeight="1">
      <c r="A163" s="14"/>
      <c r="B163" s="25"/>
      <c r="C163" s="251" t="s">
        <v>317</v>
      </c>
      <c r="D163" s="251"/>
      <c r="E163" s="251"/>
      <c r="F163" s="251">
        <v>3.79</v>
      </c>
      <c r="G163" s="251">
        <f t="shared" si="10"/>
        <v>4.840209</v>
      </c>
      <c r="H163" s="251">
        <f t="shared" si="11"/>
        <v>0</v>
      </c>
    </row>
    <row r="164" spans="1:8" s="6" customFormat="1" ht="15">
      <c r="A164" s="14" t="s">
        <v>318</v>
      </c>
      <c r="B164" s="25">
        <v>91940</v>
      </c>
      <c r="C164" s="26" t="s">
        <v>170</v>
      </c>
      <c r="D164" s="38">
        <v>54</v>
      </c>
      <c r="E164" s="7" t="s">
        <v>39</v>
      </c>
      <c r="F164" s="29">
        <v>13.69</v>
      </c>
      <c r="G164" s="18">
        <f t="shared" si="10"/>
        <v>17.483499</v>
      </c>
      <c r="H164" s="18">
        <f t="shared" si="11"/>
        <v>944.108946</v>
      </c>
    </row>
    <row r="165" spans="1:8" s="6" customFormat="1" ht="37.5">
      <c r="A165" s="14" t="s">
        <v>319</v>
      </c>
      <c r="B165" s="25">
        <v>95818</v>
      </c>
      <c r="C165" s="26" t="s">
        <v>180</v>
      </c>
      <c r="D165" s="38">
        <v>1</v>
      </c>
      <c r="E165" s="7" t="s">
        <v>39</v>
      </c>
      <c r="F165" s="17">
        <v>44.02</v>
      </c>
      <c r="G165" s="18">
        <f t="shared" si="10"/>
        <v>56.217942</v>
      </c>
      <c r="H165" s="18">
        <f t="shared" si="11"/>
        <v>56.217942</v>
      </c>
    </row>
    <row r="166" spans="1:8" s="6" customFormat="1" ht="37.5">
      <c r="A166" s="14" t="s">
        <v>320</v>
      </c>
      <c r="B166" s="25" t="s">
        <v>284</v>
      </c>
      <c r="C166" s="26" t="s">
        <v>285</v>
      </c>
      <c r="D166" s="38">
        <v>48</v>
      </c>
      <c r="E166" s="7" t="s">
        <v>30</v>
      </c>
      <c r="F166" s="17">
        <v>95.06</v>
      </c>
      <c r="G166" s="18">
        <f t="shared" si="10"/>
        <v>121.40112599999999</v>
      </c>
      <c r="H166" s="18">
        <f t="shared" si="11"/>
        <v>5827.254048</v>
      </c>
    </row>
    <row r="167" spans="1:8" s="6" customFormat="1" ht="37.5">
      <c r="A167" s="14" t="s">
        <v>321</v>
      </c>
      <c r="B167" s="25" t="s">
        <v>288</v>
      </c>
      <c r="C167" s="26" t="s">
        <v>289</v>
      </c>
      <c r="D167" s="38">
        <v>1</v>
      </c>
      <c r="E167" s="7" t="s">
        <v>39</v>
      </c>
      <c r="F167" s="17">
        <v>108.65</v>
      </c>
      <c r="G167" s="18">
        <f t="shared" si="10"/>
        <v>138.756915</v>
      </c>
      <c r="H167" s="18">
        <f t="shared" si="11"/>
        <v>138.756915</v>
      </c>
    </row>
    <row r="168" spans="1:8" s="6" customFormat="1" ht="37.5">
      <c r="A168" s="14" t="s">
        <v>322</v>
      </c>
      <c r="B168" s="25" t="s">
        <v>291</v>
      </c>
      <c r="C168" s="26" t="s">
        <v>323</v>
      </c>
      <c r="D168" s="38">
        <v>1</v>
      </c>
      <c r="E168" s="7" t="s">
        <v>39</v>
      </c>
      <c r="F168" s="17">
        <v>93.65</v>
      </c>
      <c r="G168" s="18">
        <f t="shared" si="10"/>
        <v>119.600415</v>
      </c>
      <c r="H168" s="18">
        <f t="shared" si="11"/>
        <v>119.600415</v>
      </c>
    </row>
    <row r="169" spans="1:8" s="6" customFormat="1" ht="37.5">
      <c r="A169" s="14" t="s">
        <v>324</v>
      </c>
      <c r="B169" s="25" t="s">
        <v>325</v>
      </c>
      <c r="C169" s="26" t="s">
        <v>326</v>
      </c>
      <c r="D169" s="38">
        <v>1</v>
      </c>
      <c r="E169" s="7" t="s">
        <v>39</v>
      </c>
      <c r="F169" s="17">
        <v>88.65</v>
      </c>
      <c r="G169" s="18">
        <f t="shared" si="10"/>
        <v>113.214915</v>
      </c>
      <c r="H169" s="18">
        <f t="shared" si="11"/>
        <v>113.214915</v>
      </c>
    </row>
    <row r="170" spans="1:10" s="6" customFormat="1" ht="15">
      <c r="A170" s="14" t="s">
        <v>327</v>
      </c>
      <c r="B170" s="25" t="s">
        <v>328</v>
      </c>
      <c r="C170" s="26" t="s">
        <v>329</v>
      </c>
      <c r="D170" s="38">
        <v>125</v>
      </c>
      <c r="E170" s="7" t="s">
        <v>30</v>
      </c>
      <c r="F170" s="17">
        <v>22.76</v>
      </c>
      <c r="G170" s="18">
        <f t="shared" si="10"/>
        <v>29.066796</v>
      </c>
      <c r="H170" s="18">
        <f t="shared" si="11"/>
        <v>3633.3495</v>
      </c>
      <c r="J170" s="43"/>
    </row>
    <row r="171" spans="1:10" s="6" customFormat="1" ht="15">
      <c r="A171" s="14" t="s">
        <v>330</v>
      </c>
      <c r="B171" s="25" t="s">
        <v>331</v>
      </c>
      <c r="C171" s="26" t="s">
        <v>332</v>
      </c>
      <c r="D171" s="38">
        <v>13</v>
      </c>
      <c r="E171" s="7" t="s">
        <v>39</v>
      </c>
      <c r="F171" s="17">
        <v>6.97</v>
      </c>
      <c r="G171" s="18">
        <f t="shared" si="10"/>
        <v>8.901387</v>
      </c>
      <c r="H171" s="18">
        <f t="shared" si="11"/>
        <v>115.718031</v>
      </c>
      <c r="J171" s="43"/>
    </row>
    <row r="172" spans="1:10" s="6" customFormat="1" ht="15">
      <c r="A172" s="14" t="s">
        <v>333</v>
      </c>
      <c r="B172" s="25" t="s">
        <v>334</v>
      </c>
      <c r="C172" s="26" t="s">
        <v>335</v>
      </c>
      <c r="D172" s="38">
        <v>47</v>
      </c>
      <c r="E172" s="7" t="s">
        <v>39</v>
      </c>
      <c r="F172" s="17">
        <v>12.95</v>
      </c>
      <c r="G172" s="18">
        <f t="shared" si="10"/>
        <v>16.538445</v>
      </c>
      <c r="H172" s="18">
        <f t="shared" si="11"/>
        <v>777.306915</v>
      </c>
      <c r="J172" s="43"/>
    </row>
    <row r="173" spans="1:8" s="6" customFormat="1" ht="15">
      <c r="A173" s="14" t="s">
        <v>336</v>
      </c>
      <c r="B173" s="25" t="s">
        <v>337</v>
      </c>
      <c r="C173" s="26" t="s">
        <v>338</v>
      </c>
      <c r="D173" s="38">
        <v>9</v>
      </c>
      <c r="E173" s="7" t="s">
        <v>39</v>
      </c>
      <c r="F173" s="17">
        <v>16.37</v>
      </c>
      <c r="G173" s="18">
        <f t="shared" si="10"/>
        <v>20.906126999999998</v>
      </c>
      <c r="H173" s="18">
        <f t="shared" si="11"/>
        <v>188.15514299999998</v>
      </c>
    </row>
    <row r="174" spans="1:8" s="6" customFormat="1" ht="37.5">
      <c r="A174" s="14" t="s">
        <v>339</v>
      </c>
      <c r="B174" s="28">
        <v>91871</v>
      </c>
      <c r="C174" s="26" t="s">
        <v>193</v>
      </c>
      <c r="D174" s="38">
        <v>245</v>
      </c>
      <c r="E174" s="7" t="s">
        <v>30</v>
      </c>
      <c r="F174" s="17">
        <v>12.06</v>
      </c>
      <c r="G174" s="18">
        <f t="shared" si="10"/>
        <v>15.401826</v>
      </c>
      <c r="H174" s="18">
        <f t="shared" si="11"/>
        <v>3773.44737</v>
      </c>
    </row>
    <row r="175" spans="1:8" s="6" customFormat="1" ht="37.5">
      <c r="A175" s="14" t="s">
        <v>340</v>
      </c>
      <c r="B175" s="23">
        <v>91914</v>
      </c>
      <c r="C175" s="21" t="s">
        <v>205</v>
      </c>
      <c r="D175" s="38">
        <v>54</v>
      </c>
      <c r="E175" s="7" t="s">
        <v>39</v>
      </c>
      <c r="F175" s="17">
        <v>13.32</v>
      </c>
      <c r="G175" s="18">
        <f t="shared" si="10"/>
        <v>17.010972</v>
      </c>
      <c r="H175" s="18">
        <f t="shared" si="11"/>
        <v>918.5924879999999</v>
      </c>
    </row>
    <row r="176" spans="1:8" s="6" customFormat="1" ht="37.5">
      <c r="A176" s="14" t="s">
        <v>341</v>
      </c>
      <c r="B176" s="25">
        <v>91884</v>
      </c>
      <c r="C176" s="26" t="s">
        <v>199</v>
      </c>
      <c r="D176" s="38">
        <v>150</v>
      </c>
      <c r="E176" s="7" t="s">
        <v>39</v>
      </c>
      <c r="F176" s="17">
        <v>8.03</v>
      </c>
      <c r="G176" s="18">
        <f t="shared" si="10"/>
        <v>10.255112999999998</v>
      </c>
      <c r="H176" s="18">
        <f t="shared" si="11"/>
        <v>1538.2669499999997</v>
      </c>
    </row>
    <row r="177" spans="1:8" s="6" customFormat="1" ht="15">
      <c r="A177" s="14" t="s">
        <v>342</v>
      </c>
      <c r="B177" s="25">
        <v>90447</v>
      </c>
      <c r="C177" s="26" t="s">
        <v>232</v>
      </c>
      <c r="D177" s="38">
        <v>110</v>
      </c>
      <c r="E177" s="7" t="s">
        <v>30</v>
      </c>
      <c r="F177" s="17">
        <v>5.09</v>
      </c>
      <c r="G177" s="18">
        <f t="shared" si="10"/>
        <v>6.500438999999999</v>
      </c>
      <c r="H177" s="18">
        <f t="shared" si="11"/>
        <v>715.04829</v>
      </c>
    </row>
    <row r="178" spans="1:8" s="6" customFormat="1" ht="37.5">
      <c r="A178" s="14" t="s">
        <v>343</v>
      </c>
      <c r="B178" s="25">
        <v>90466</v>
      </c>
      <c r="C178" s="26" t="s">
        <v>133</v>
      </c>
      <c r="D178" s="38">
        <v>110</v>
      </c>
      <c r="E178" s="7" t="s">
        <v>30</v>
      </c>
      <c r="F178" s="17">
        <v>10.48</v>
      </c>
      <c r="G178" s="18">
        <f t="shared" si="10"/>
        <v>13.384008</v>
      </c>
      <c r="H178" s="18">
        <f t="shared" si="11"/>
        <v>1472.24088</v>
      </c>
    </row>
    <row r="179" spans="1:8" s="6" customFormat="1" ht="37.5">
      <c r="A179" s="14" t="s">
        <v>344</v>
      </c>
      <c r="B179" s="25" t="s">
        <v>345</v>
      </c>
      <c r="C179" s="26" t="s">
        <v>346</v>
      </c>
      <c r="D179" s="38">
        <v>2340</v>
      </c>
      <c r="E179" s="7" t="s">
        <v>30</v>
      </c>
      <c r="F179" s="17">
        <v>2.21</v>
      </c>
      <c r="G179" s="18">
        <f t="shared" si="10"/>
        <v>2.8223909999999997</v>
      </c>
      <c r="H179" s="18">
        <f t="shared" si="11"/>
        <v>6604.394939999999</v>
      </c>
    </row>
    <row r="180" spans="1:8" s="6" customFormat="1" ht="15">
      <c r="A180" s="14" t="s">
        <v>347</v>
      </c>
      <c r="B180" s="25" t="s">
        <v>348</v>
      </c>
      <c r="C180" s="26" t="s">
        <v>349</v>
      </c>
      <c r="D180" s="38">
        <v>27</v>
      </c>
      <c r="E180" s="7" t="s">
        <v>39</v>
      </c>
      <c r="F180" s="17">
        <v>229</v>
      </c>
      <c r="G180" s="18">
        <f t="shared" si="10"/>
        <v>292.4559</v>
      </c>
      <c r="H180" s="18">
        <f t="shared" si="11"/>
        <v>7896.3093</v>
      </c>
    </row>
    <row r="181" spans="1:8" s="6" customFormat="1" ht="15">
      <c r="A181" s="14" t="s">
        <v>350</v>
      </c>
      <c r="B181" s="25" t="s">
        <v>348</v>
      </c>
      <c r="C181" s="26" t="s">
        <v>351</v>
      </c>
      <c r="D181" s="38">
        <v>27</v>
      </c>
      <c r="E181" s="7" t="s">
        <v>39</v>
      </c>
      <c r="F181" s="17">
        <v>199</v>
      </c>
      <c r="G181" s="18">
        <f t="shared" si="10"/>
        <v>254.14289999999997</v>
      </c>
      <c r="H181" s="18">
        <f t="shared" si="11"/>
        <v>6861.858299999999</v>
      </c>
    </row>
    <row r="182" spans="1:8" s="6" customFormat="1" ht="15">
      <c r="A182" s="14" t="s">
        <v>352</v>
      </c>
      <c r="B182" s="25" t="s">
        <v>348</v>
      </c>
      <c r="C182" s="26" t="s">
        <v>353</v>
      </c>
      <c r="D182" s="38">
        <v>14</v>
      </c>
      <c r="E182" s="7" t="s">
        <v>39</v>
      </c>
      <c r="F182" s="17">
        <v>320</v>
      </c>
      <c r="G182" s="18">
        <f t="shared" si="10"/>
        <v>408.67199999999997</v>
      </c>
      <c r="H182" s="18">
        <f t="shared" si="11"/>
        <v>5721.407999999999</v>
      </c>
    </row>
    <row r="183" spans="1:8" s="6" customFormat="1" ht="15">
      <c r="A183" s="14" t="s">
        <v>354</v>
      </c>
      <c r="B183" s="25" t="s">
        <v>348</v>
      </c>
      <c r="C183" s="26" t="s">
        <v>355</v>
      </c>
      <c r="D183" s="38">
        <v>13</v>
      </c>
      <c r="E183" s="7" t="s">
        <v>39</v>
      </c>
      <c r="F183" s="17">
        <v>259</v>
      </c>
      <c r="G183" s="18">
        <f t="shared" si="10"/>
        <v>330.7689</v>
      </c>
      <c r="H183" s="18">
        <f t="shared" si="11"/>
        <v>4299.9956999999995</v>
      </c>
    </row>
    <row r="184" spans="1:8" s="6" customFormat="1" ht="15">
      <c r="A184" s="14" t="s">
        <v>356</v>
      </c>
      <c r="B184" s="25" t="s">
        <v>348</v>
      </c>
      <c r="C184" s="26" t="s">
        <v>357</v>
      </c>
      <c r="D184" s="38">
        <v>1</v>
      </c>
      <c r="E184" s="7" t="s">
        <v>39</v>
      </c>
      <c r="F184" s="17">
        <v>2440</v>
      </c>
      <c r="G184" s="18">
        <f t="shared" si="10"/>
        <v>3116.124</v>
      </c>
      <c r="H184" s="18">
        <f t="shared" si="11"/>
        <v>3116.124</v>
      </c>
    </row>
    <row r="185" spans="1:8" s="6" customFormat="1" ht="15">
      <c r="A185" s="14" t="s">
        <v>358</v>
      </c>
      <c r="B185" s="25" t="s">
        <v>348</v>
      </c>
      <c r="C185" s="26" t="s">
        <v>359</v>
      </c>
      <c r="D185" s="38">
        <v>27</v>
      </c>
      <c r="E185" s="7" t="s">
        <v>39</v>
      </c>
      <c r="F185" s="17">
        <v>39</v>
      </c>
      <c r="G185" s="18">
        <f t="shared" si="10"/>
        <v>49.8069</v>
      </c>
      <c r="H185" s="18">
        <f t="shared" si="11"/>
        <v>1344.7863</v>
      </c>
    </row>
    <row r="186" spans="1:8" s="6" customFormat="1" ht="15">
      <c r="A186" s="14" t="s">
        <v>360</v>
      </c>
      <c r="B186" s="25" t="s">
        <v>348</v>
      </c>
      <c r="C186" s="26" t="s">
        <v>361</v>
      </c>
      <c r="D186" s="38">
        <v>1</v>
      </c>
      <c r="E186" s="7" t="s">
        <v>39</v>
      </c>
      <c r="F186" s="17">
        <v>1190</v>
      </c>
      <c r="G186" s="18">
        <f t="shared" si="10"/>
        <v>1519.7489999999998</v>
      </c>
      <c r="H186" s="18">
        <f t="shared" si="11"/>
        <v>1519.7489999999998</v>
      </c>
    </row>
    <row r="187" spans="1:8" s="12" customFormat="1" ht="15">
      <c r="A187" s="19"/>
      <c r="B187" s="19"/>
      <c r="C187" s="19" t="s">
        <v>18</v>
      </c>
      <c r="D187" s="36"/>
      <c r="E187" s="19"/>
      <c r="F187" s="37"/>
      <c r="G187" s="20"/>
      <c r="H187" s="20">
        <f>SUM(H92:H186)</f>
        <v>377344.82639699994</v>
      </c>
    </row>
    <row r="188" spans="1:8" s="12" customFormat="1" ht="17.45" customHeight="1">
      <c r="A188" s="9">
        <v>11</v>
      </c>
      <c r="B188" s="9"/>
      <c r="C188" s="252" t="s">
        <v>362</v>
      </c>
      <c r="D188" s="252"/>
      <c r="E188" s="252"/>
      <c r="F188" s="252"/>
      <c r="G188" s="252"/>
      <c r="H188" s="252"/>
    </row>
    <row r="189" spans="1:8" s="24" customFormat="1" ht="15">
      <c r="A189" s="25"/>
      <c r="B189" s="25"/>
      <c r="C189" s="30" t="s">
        <v>52</v>
      </c>
      <c r="D189" s="31"/>
      <c r="E189" s="25"/>
      <c r="F189" s="29"/>
      <c r="G189" s="44"/>
      <c r="H189" s="44"/>
    </row>
    <row r="190" spans="1:8" s="24" customFormat="1" ht="15">
      <c r="A190" s="25" t="s">
        <v>363</v>
      </c>
      <c r="B190" s="25">
        <v>88485</v>
      </c>
      <c r="C190" s="26" t="s">
        <v>364</v>
      </c>
      <c r="D190" s="31">
        <f>(21.3+20.9+16.2+17.1+6.3+72.7+11.4+14.1+15.5+16.2+16.39+14.72+46.78+16.7+20.6+21.4+46.78+16.3+21.14+18.9+16.64)*3.5+(22.86+22.65+16.04+15.16+2.48+74.01+6.71+9.38+10.51+12.14+12.45+12.93+43.9+16.28+18.41+21.43+43.92+16.27+23.16+18.49+17.06)+(2.65*1.7+2.25*1.7+2.15*1.6+2.15*1.6+2.15*1.6+2.25*1.5+2.25*1.5+2.15*1.6+2.25*1.6+1.85*2.23+2.65*2.23+4.65*2.4)</f>
        <v>2128.05</v>
      </c>
      <c r="E190" s="25" t="s">
        <v>17</v>
      </c>
      <c r="F190" s="29">
        <v>2.36</v>
      </c>
      <c r="G190" s="18">
        <f>F190*1.2771</f>
        <v>3.0139559999999994</v>
      </c>
      <c r="H190" s="18">
        <f>D190*G190</f>
        <v>6413.849065799999</v>
      </c>
    </row>
    <row r="191" spans="1:8" s="24" customFormat="1" ht="15">
      <c r="A191" s="25" t="s">
        <v>365</v>
      </c>
      <c r="B191" s="25">
        <v>88497</v>
      </c>
      <c r="C191" s="26" t="s">
        <v>366</v>
      </c>
      <c r="D191" s="31">
        <f>(21.3+20.9+16.2+17.1+6.3+72.7+11.4+14.1+15.5+16.2+16.39+14.72+46.78+16.7+20.6+21.4+46.78+16.3+21.14+18.9+16.64)*3.5</f>
        <v>1638.1749999999997</v>
      </c>
      <c r="E191" s="25" t="s">
        <v>17</v>
      </c>
      <c r="F191" s="29">
        <v>16.69</v>
      </c>
      <c r="G191" s="18">
        <f>F191*1.2771</f>
        <v>21.314799</v>
      </c>
      <c r="H191" s="18">
        <f>D191*G191</f>
        <v>34917.370851825</v>
      </c>
    </row>
    <row r="192" spans="1:8" s="24" customFormat="1" ht="15">
      <c r="A192" s="25" t="s">
        <v>367</v>
      </c>
      <c r="B192" s="25">
        <v>88496</v>
      </c>
      <c r="C192" s="26" t="s">
        <v>368</v>
      </c>
      <c r="D192" s="31">
        <f>(22.86+22.65+16.04+15.16+2.48+74.01+6.71+9.38+10.51+12.14+12.45+12.93+43.9+16.28+18.41+21.43+43.92+16.27+23.16+18.49+17.06)+(2.65*1.7+2.25*1.7+2.15*1.6+2.15*1.6+2.15*1.6+2.25*1.5+2.25*1.5+2.15*1.6+2.25*1.6+1.85*2.23+2.65*2.23+4.65*2.4)</f>
        <v>489.87500000000006</v>
      </c>
      <c r="E192" s="25" t="s">
        <v>17</v>
      </c>
      <c r="F192" s="29">
        <v>27.78</v>
      </c>
      <c r="G192" s="18">
        <f>F192*1.2771</f>
        <v>35.477838</v>
      </c>
      <c r="H192" s="18">
        <f>D192*G192</f>
        <v>17379.705890250003</v>
      </c>
    </row>
    <row r="193" spans="1:8" s="24" customFormat="1" ht="15">
      <c r="A193" s="25" t="s">
        <v>369</v>
      </c>
      <c r="B193" s="25">
        <v>88489</v>
      </c>
      <c r="C193" s="26" t="s">
        <v>370</v>
      </c>
      <c r="D193" s="31">
        <f>D191</f>
        <v>1638.1749999999997</v>
      </c>
      <c r="E193" s="25" t="s">
        <v>17</v>
      </c>
      <c r="F193" s="29">
        <v>14.63</v>
      </c>
      <c r="G193" s="18">
        <f>F193*1.2771</f>
        <v>18.683972999999998</v>
      </c>
      <c r="H193" s="18">
        <f>D193*G193</f>
        <v>30607.617469274992</v>
      </c>
    </row>
    <row r="194" spans="1:8" s="24" customFormat="1" ht="15">
      <c r="A194" s="25" t="s">
        <v>371</v>
      </c>
      <c r="B194" s="25">
        <v>88488</v>
      </c>
      <c r="C194" s="26" t="s">
        <v>372</v>
      </c>
      <c r="D194" s="31">
        <f>D192</f>
        <v>489.87500000000006</v>
      </c>
      <c r="E194" s="25" t="s">
        <v>17</v>
      </c>
      <c r="F194" s="29">
        <v>14.63</v>
      </c>
      <c r="G194" s="18">
        <f>F194*1.2771</f>
        <v>18.683972999999998</v>
      </c>
      <c r="H194" s="18">
        <f>D194*G194</f>
        <v>9152.811273375</v>
      </c>
    </row>
    <row r="195" spans="1:8" s="12" customFormat="1" ht="15">
      <c r="A195" s="19"/>
      <c r="B195" s="19"/>
      <c r="C195" s="19" t="s">
        <v>18</v>
      </c>
      <c r="D195" s="36"/>
      <c r="E195" s="19"/>
      <c r="F195" s="37"/>
      <c r="G195" s="20"/>
      <c r="H195" s="20">
        <f>SUM(H189:H194)</f>
        <v>98471.354550525</v>
      </c>
    </row>
    <row r="196" spans="1:8" s="12" customFormat="1" ht="18.75" customHeight="1">
      <c r="A196" s="9">
        <v>12</v>
      </c>
      <c r="B196" s="9"/>
      <c r="C196" s="252" t="s">
        <v>373</v>
      </c>
      <c r="D196" s="252"/>
      <c r="E196" s="252"/>
      <c r="F196" s="252"/>
      <c r="G196" s="252"/>
      <c r="H196" s="252"/>
    </row>
    <row r="197" spans="1:8" s="24" customFormat="1" ht="15">
      <c r="A197" s="25" t="s">
        <v>374</v>
      </c>
      <c r="B197" s="25" t="s">
        <v>375</v>
      </c>
      <c r="C197" s="26" t="s">
        <v>376</v>
      </c>
      <c r="D197" s="31">
        <v>490</v>
      </c>
      <c r="E197" s="25" t="s">
        <v>17</v>
      </c>
      <c r="F197" s="29">
        <v>1.72</v>
      </c>
      <c r="G197" s="18">
        <f aca="true" t="shared" si="12" ref="G197:G206">F197*1.2771</f>
        <v>2.196612</v>
      </c>
      <c r="H197" s="18">
        <f aca="true" t="shared" si="13" ref="H197:H209">D197*G197</f>
        <v>1076.33988</v>
      </c>
    </row>
    <row r="198" spans="1:8" s="24" customFormat="1" ht="15">
      <c r="A198" s="25" t="s">
        <v>377</v>
      </c>
      <c r="B198" s="25" t="s">
        <v>378</v>
      </c>
      <c r="C198" s="26" t="s">
        <v>379</v>
      </c>
      <c r="D198" s="31">
        <f>72.7+46.78-0.75*2-0.8-1.1*10-0.8-2.25-2.25-1.1*8-0.8*2</f>
        <v>90.48000000000002</v>
      </c>
      <c r="E198" s="25" t="s">
        <v>30</v>
      </c>
      <c r="F198" s="29">
        <v>91.34</v>
      </c>
      <c r="G198" s="18">
        <f t="shared" si="12"/>
        <v>116.650314</v>
      </c>
      <c r="H198" s="18">
        <f t="shared" si="13"/>
        <v>10554.520410720002</v>
      </c>
    </row>
    <row r="199" spans="1:8" s="24" customFormat="1" ht="15">
      <c r="A199" s="25" t="s">
        <v>380</v>
      </c>
      <c r="B199" s="25">
        <v>95546</v>
      </c>
      <c r="C199" s="26" t="s">
        <v>381</v>
      </c>
      <c r="D199" s="31">
        <v>13</v>
      </c>
      <c r="E199" s="25" t="s">
        <v>39</v>
      </c>
      <c r="F199" s="29">
        <v>212.4</v>
      </c>
      <c r="G199" s="18">
        <f t="shared" si="12"/>
        <v>271.25604</v>
      </c>
      <c r="H199" s="18">
        <f t="shared" si="13"/>
        <v>3526.32852</v>
      </c>
    </row>
    <row r="200" spans="1:8" s="24" customFormat="1" ht="15">
      <c r="A200" s="25" t="s">
        <v>382</v>
      </c>
      <c r="B200" s="25">
        <v>100849</v>
      </c>
      <c r="C200" s="26" t="s">
        <v>383</v>
      </c>
      <c r="D200" s="31">
        <v>13</v>
      </c>
      <c r="E200" s="25" t="s">
        <v>39</v>
      </c>
      <c r="F200" s="29">
        <v>49.84</v>
      </c>
      <c r="G200" s="18">
        <f t="shared" si="12"/>
        <v>63.650664</v>
      </c>
      <c r="H200" s="18">
        <f t="shared" si="13"/>
        <v>827.458632</v>
      </c>
    </row>
    <row r="201" spans="1:8" s="24" customFormat="1" ht="37.5">
      <c r="A201" s="25" t="s">
        <v>384</v>
      </c>
      <c r="B201" s="25">
        <v>100864</v>
      </c>
      <c r="C201" s="26" t="s">
        <v>385</v>
      </c>
      <c r="D201" s="31">
        <v>2</v>
      </c>
      <c r="E201" s="25" t="s">
        <v>39</v>
      </c>
      <c r="F201" s="29">
        <v>803.14</v>
      </c>
      <c r="G201" s="18">
        <f t="shared" si="12"/>
        <v>1025.6900939999998</v>
      </c>
      <c r="H201" s="18">
        <f t="shared" si="13"/>
        <v>2051.3801879999996</v>
      </c>
    </row>
    <row r="202" spans="1:8" s="24" customFormat="1" ht="37.5">
      <c r="A202" s="25" t="s">
        <v>386</v>
      </c>
      <c r="B202" s="25">
        <v>100869</v>
      </c>
      <c r="C202" s="26" t="s">
        <v>387</v>
      </c>
      <c r="D202" s="31">
        <v>2</v>
      </c>
      <c r="E202" s="25" t="s">
        <v>39</v>
      </c>
      <c r="F202" s="29">
        <v>422.55</v>
      </c>
      <c r="G202" s="18">
        <f t="shared" si="12"/>
        <v>539.638605</v>
      </c>
      <c r="H202" s="18">
        <f t="shared" si="13"/>
        <v>1079.27721</v>
      </c>
    </row>
    <row r="203" spans="1:8" s="24" customFormat="1" ht="15">
      <c r="A203" s="25" t="s">
        <v>388</v>
      </c>
      <c r="B203" s="25">
        <v>95546</v>
      </c>
      <c r="C203" s="26" t="s">
        <v>381</v>
      </c>
      <c r="D203" s="31">
        <v>17</v>
      </c>
      <c r="E203" s="25" t="s">
        <v>39</v>
      </c>
      <c r="F203" s="29">
        <v>212.4</v>
      </c>
      <c r="G203" s="18">
        <f t="shared" si="12"/>
        <v>271.25604</v>
      </c>
      <c r="H203" s="18">
        <f t="shared" si="13"/>
        <v>4611.35268</v>
      </c>
    </row>
    <row r="204" spans="1:8" s="24" customFormat="1" ht="15">
      <c r="A204" s="25" t="s">
        <v>389</v>
      </c>
      <c r="B204" s="25">
        <v>100849</v>
      </c>
      <c r="C204" s="26" t="s">
        <v>383</v>
      </c>
      <c r="D204" s="31">
        <v>17</v>
      </c>
      <c r="E204" s="25" t="s">
        <v>39</v>
      </c>
      <c r="F204" s="29">
        <v>49.84</v>
      </c>
      <c r="G204" s="18">
        <f t="shared" si="12"/>
        <v>63.650664</v>
      </c>
      <c r="H204" s="18">
        <f t="shared" si="13"/>
        <v>1082.0612879999999</v>
      </c>
    </row>
    <row r="205" spans="1:8" s="24" customFormat="1" ht="15">
      <c r="A205" s="25" t="s">
        <v>390</v>
      </c>
      <c r="B205" s="25" t="s">
        <v>348</v>
      </c>
      <c r="C205" s="26" t="s">
        <v>391</v>
      </c>
      <c r="D205" s="31">
        <v>14</v>
      </c>
      <c r="E205" s="25" t="s">
        <v>39</v>
      </c>
      <c r="F205" s="29">
        <v>159.9</v>
      </c>
      <c r="G205" s="18">
        <f t="shared" si="12"/>
        <v>204.20829</v>
      </c>
      <c r="H205" s="18">
        <f t="shared" si="13"/>
        <v>2858.91606</v>
      </c>
    </row>
    <row r="206" spans="1:8" s="24" customFormat="1" ht="15">
      <c r="A206" s="25" t="s">
        <v>392</v>
      </c>
      <c r="B206" s="25">
        <v>1367</v>
      </c>
      <c r="C206" s="26" t="s">
        <v>393</v>
      </c>
      <c r="D206" s="31">
        <v>17</v>
      </c>
      <c r="E206" s="25" t="s">
        <v>39</v>
      </c>
      <c r="F206" s="29">
        <v>230.15</v>
      </c>
      <c r="G206" s="18">
        <f t="shared" si="12"/>
        <v>293.924565</v>
      </c>
      <c r="H206" s="18">
        <f t="shared" si="13"/>
        <v>4996.717605</v>
      </c>
    </row>
    <row r="207" spans="1:8" s="24" customFormat="1" ht="75">
      <c r="A207" s="25" t="s">
        <v>394</v>
      </c>
      <c r="B207" s="28" t="s">
        <v>395</v>
      </c>
      <c r="C207" s="26" t="s">
        <v>396</v>
      </c>
      <c r="D207" s="31">
        <v>2</v>
      </c>
      <c r="E207" s="25" t="s">
        <v>39</v>
      </c>
      <c r="F207" s="29">
        <v>3390</v>
      </c>
      <c r="G207" s="18">
        <f>F207</f>
        <v>3390</v>
      </c>
      <c r="H207" s="18">
        <f t="shared" si="13"/>
        <v>6780</v>
      </c>
    </row>
    <row r="208" spans="1:8" s="24" customFormat="1" ht="15">
      <c r="A208" s="25" t="s">
        <v>397</v>
      </c>
      <c r="B208" s="28" t="s">
        <v>398</v>
      </c>
      <c r="C208" s="26" t="s">
        <v>399</v>
      </c>
      <c r="D208" s="31">
        <v>5</v>
      </c>
      <c r="E208" s="25" t="s">
        <v>39</v>
      </c>
      <c r="F208" s="29">
        <v>266.01</v>
      </c>
      <c r="G208" s="18">
        <f>F208*1.2771</f>
        <v>339.721371</v>
      </c>
      <c r="H208" s="18">
        <f t="shared" si="13"/>
        <v>1698.606855</v>
      </c>
    </row>
    <row r="209" spans="1:8" s="24" customFormat="1" ht="15">
      <c r="A209" s="25" t="s">
        <v>400</v>
      </c>
      <c r="B209" s="28" t="s">
        <v>401</v>
      </c>
      <c r="C209" s="26" t="s">
        <v>402</v>
      </c>
      <c r="D209" s="31">
        <f>5*5</f>
        <v>25</v>
      </c>
      <c r="E209" s="25" t="s">
        <v>30</v>
      </c>
      <c r="F209" s="29">
        <v>55.91</v>
      </c>
      <c r="G209" s="18">
        <f>F209*1.2771</f>
        <v>71.402661</v>
      </c>
      <c r="H209" s="18">
        <f t="shared" si="13"/>
        <v>1785.066525</v>
      </c>
    </row>
    <row r="210" spans="1:8" s="12" customFormat="1" ht="15">
      <c r="A210" s="19"/>
      <c r="B210" s="19"/>
      <c r="C210" s="19" t="s">
        <v>18</v>
      </c>
      <c r="D210" s="36"/>
      <c r="E210" s="19"/>
      <c r="F210" s="37"/>
      <c r="G210" s="20"/>
      <c r="H210" s="20">
        <f>SUM(H197:H209)</f>
        <v>42928.025853720006</v>
      </c>
    </row>
    <row r="211" spans="1:8" s="6" customFormat="1" ht="15">
      <c r="A211" s="9">
        <v>13</v>
      </c>
      <c r="B211" s="39"/>
      <c r="C211" s="13" t="s">
        <v>403</v>
      </c>
      <c r="D211" s="16"/>
      <c r="E211" s="14"/>
      <c r="F211" s="17"/>
      <c r="G211" s="18"/>
      <c r="H211" s="18"/>
    </row>
    <row r="212" spans="1:8" s="6" customFormat="1" ht="15">
      <c r="A212" s="45" t="s">
        <v>404</v>
      </c>
      <c r="B212" s="25" t="s">
        <v>405</v>
      </c>
      <c r="C212" s="21" t="s">
        <v>406</v>
      </c>
      <c r="D212" s="16">
        <v>196.74</v>
      </c>
      <c r="E212" s="14" t="s">
        <v>30</v>
      </c>
      <c r="F212" s="17">
        <v>91.39</v>
      </c>
      <c r="G212" s="18">
        <f aca="true" t="shared" si="14" ref="G212:G218">F212*1.2771</f>
        <v>116.714169</v>
      </c>
      <c r="H212" s="18">
        <f aca="true" t="shared" si="15" ref="H212:H218">D212*G212</f>
        <v>22962.34560906</v>
      </c>
    </row>
    <row r="213" spans="1:8" s="6" customFormat="1" ht="15">
      <c r="A213" s="45" t="s">
        <v>407</v>
      </c>
      <c r="B213" s="25">
        <v>92317</v>
      </c>
      <c r="C213" s="21" t="s">
        <v>408</v>
      </c>
      <c r="D213" s="16">
        <v>20</v>
      </c>
      <c r="E213" s="14" t="s">
        <v>409</v>
      </c>
      <c r="F213" s="17">
        <v>17.63</v>
      </c>
      <c r="G213" s="18">
        <f t="shared" si="14"/>
        <v>22.515272999999997</v>
      </c>
      <c r="H213" s="18">
        <f t="shared" si="15"/>
        <v>450.3054599999999</v>
      </c>
    </row>
    <row r="214" spans="1:8" s="6" customFormat="1" ht="15">
      <c r="A214" s="45" t="s">
        <v>410</v>
      </c>
      <c r="B214" s="25">
        <v>92311</v>
      </c>
      <c r="C214" s="21" t="s">
        <v>411</v>
      </c>
      <c r="D214" s="16">
        <v>56</v>
      </c>
      <c r="E214" s="14" t="s">
        <v>409</v>
      </c>
      <c r="F214" s="17">
        <v>12.93</v>
      </c>
      <c r="G214" s="18">
        <f t="shared" si="14"/>
        <v>16.512902999999998</v>
      </c>
      <c r="H214" s="18">
        <f t="shared" si="15"/>
        <v>924.7225679999999</v>
      </c>
    </row>
    <row r="215" spans="1:8" s="6" customFormat="1" ht="15">
      <c r="A215" s="45" t="s">
        <v>412</v>
      </c>
      <c r="B215" s="25" t="s">
        <v>413</v>
      </c>
      <c r="C215" s="21" t="s">
        <v>414</v>
      </c>
      <c r="D215" s="16">
        <v>54</v>
      </c>
      <c r="E215" s="14" t="s">
        <v>39</v>
      </c>
      <c r="F215" s="17">
        <v>203.13</v>
      </c>
      <c r="G215" s="18">
        <f t="shared" si="14"/>
        <v>259.41732299999995</v>
      </c>
      <c r="H215" s="18">
        <f t="shared" si="15"/>
        <v>14008.535441999997</v>
      </c>
    </row>
    <row r="216" spans="1:8" s="6" customFormat="1" ht="15">
      <c r="A216" s="45" t="s">
        <v>415</v>
      </c>
      <c r="B216" s="25">
        <v>90447</v>
      </c>
      <c r="C216" s="21" t="s">
        <v>232</v>
      </c>
      <c r="D216" s="16">
        <f>((2.5+2.42)+(2.5+4.7)+(2.5+2.85)+(2.5+3.21)+(2.5+3.21)+(2.5+3.57)+(2.5+4.38)+(2.5+4.46)+(2.5+3.22)+(2.5+2.17)+(2.5+5.27)+(2.5+6.64)+(2.5+4.43)+(2.5+6.19)+(2.5+3.65))*2</f>
        <v>195.74</v>
      </c>
      <c r="E216" s="14" t="s">
        <v>30</v>
      </c>
      <c r="F216" s="17">
        <v>5.61</v>
      </c>
      <c r="G216" s="18">
        <f t="shared" si="14"/>
        <v>7.164531</v>
      </c>
      <c r="H216" s="18">
        <f t="shared" si="15"/>
        <v>1402.38529794</v>
      </c>
    </row>
    <row r="217" spans="1:8" s="6" customFormat="1" ht="37.5">
      <c r="A217" s="45" t="s">
        <v>416</v>
      </c>
      <c r="B217" s="25">
        <v>90466</v>
      </c>
      <c r="C217" s="21" t="s">
        <v>133</v>
      </c>
      <c r="D217" s="16">
        <f>D216</f>
        <v>195.74</v>
      </c>
      <c r="E217" s="14" t="s">
        <v>30</v>
      </c>
      <c r="F217" s="17">
        <v>11.61</v>
      </c>
      <c r="G217" s="18">
        <f t="shared" si="14"/>
        <v>14.827130999999998</v>
      </c>
      <c r="H217" s="18">
        <f t="shared" si="15"/>
        <v>2902.26262194</v>
      </c>
    </row>
    <row r="218" spans="1:8" s="6" customFormat="1" ht="15">
      <c r="A218" s="45" t="s">
        <v>417</v>
      </c>
      <c r="B218" s="25">
        <v>95250</v>
      </c>
      <c r="C218" s="21" t="s">
        <v>418</v>
      </c>
      <c r="D218" s="16">
        <v>32</v>
      </c>
      <c r="E218" s="14" t="s">
        <v>409</v>
      </c>
      <c r="F218" s="17">
        <v>97.01</v>
      </c>
      <c r="G218" s="18">
        <f t="shared" si="14"/>
        <v>123.891471</v>
      </c>
      <c r="H218" s="18">
        <f t="shared" si="15"/>
        <v>3964.527072</v>
      </c>
    </row>
    <row r="219" spans="1:8" s="6" customFormat="1" ht="15">
      <c r="A219" s="19"/>
      <c r="B219" s="19"/>
      <c r="C219" s="19" t="s">
        <v>18</v>
      </c>
      <c r="D219" s="46"/>
      <c r="E219" s="47"/>
      <c r="F219" s="48"/>
      <c r="G219" s="49"/>
      <c r="H219" s="20">
        <f>SUM(H212:H218)</f>
        <v>46615.08407094</v>
      </c>
    </row>
    <row r="220" spans="1:8" s="6" customFormat="1" ht="15">
      <c r="A220" s="9">
        <v>14</v>
      </c>
      <c r="B220" s="39"/>
      <c r="C220" s="13" t="s">
        <v>419</v>
      </c>
      <c r="D220" s="16"/>
      <c r="E220" s="14"/>
      <c r="F220" s="17"/>
      <c r="G220" s="18"/>
      <c r="H220" s="18"/>
    </row>
    <row r="221" spans="1:8" s="6" customFormat="1" ht="37.5">
      <c r="A221" s="45" t="s">
        <v>420</v>
      </c>
      <c r="B221" s="25" t="s">
        <v>421</v>
      </c>
      <c r="C221" s="21" t="s">
        <v>422</v>
      </c>
      <c r="D221" s="16">
        <f>(4.4+17.7+4.4+14.15+3.05+5.1)+33</f>
        <v>81.8</v>
      </c>
      <c r="E221" s="14" t="s">
        <v>30</v>
      </c>
      <c r="F221" s="17">
        <v>63.42</v>
      </c>
      <c r="G221" s="18">
        <f>F221*1.2771</f>
        <v>80.99368199999999</v>
      </c>
      <c r="H221" s="18">
        <f>D221*G221</f>
        <v>6625.283187599999</v>
      </c>
    </row>
    <row r="222" spans="1:8" s="6" customFormat="1" ht="15">
      <c r="A222" s="45" t="s">
        <v>423</v>
      </c>
      <c r="B222" s="25">
        <v>6081</v>
      </c>
      <c r="C222" s="21" t="s">
        <v>424</v>
      </c>
      <c r="D222" s="16">
        <f>D221*0.5*0.5</f>
        <v>20.45</v>
      </c>
      <c r="E222" s="14" t="s">
        <v>22</v>
      </c>
      <c r="F222" s="17">
        <v>52.19</v>
      </c>
      <c r="G222" s="18">
        <f>F222*1.2771</f>
        <v>66.651849</v>
      </c>
      <c r="H222" s="18">
        <f>D222*G222</f>
        <v>1363.03031205</v>
      </c>
    </row>
    <row r="223" spans="1:8" s="6" customFormat="1" ht="37.5">
      <c r="A223" s="45" t="s">
        <v>425</v>
      </c>
      <c r="B223" s="25" t="s">
        <v>426</v>
      </c>
      <c r="C223" s="21" t="s">
        <v>427</v>
      </c>
      <c r="D223" s="16">
        <f>D222</f>
        <v>20.45</v>
      </c>
      <c r="E223" s="14" t="s">
        <v>22</v>
      </c>
      <c r="F223" s="17">
        <v>10.06</v>
      </c>
      <c r="G223" s="18">
        <f>F223*1.2771</f>
        <v>12.847626</v>
      </c>
      <c r="H223" s="18">
        <f>D223*G223</f>
        <v>262.7339517</v>
      </c>
    </row>
    <row r="224" spans="1:8" s="6" customFormat="1" ht="15">
      <c r="A224" s="19"/>
      <c r="B224" s="19"/>
      <c r="C224" s="19" t="s">
        <v>18</v>
      </c>
      <c r="D224" s="46"/>
      <c r="E224" s="47"/>
      <c r="F224" s="48"/>
      <c r="G224" s="49"/>
      <c r="H224" s="20">
        <f>SUM(H221:H223)</f>
        <v>8251.04745135</v>
      </c>
    </row>
    <row r="225" spans="1:8" s="12" customFormat="1" ht="18.75" customHeight="1">
      <c r="A225" s="9">
        <v>15</v>
      </c>
      <c r="B225" s="9"/>
      <c r="C225" s="252" t="s">
        <v>428</v>
      </c>
      <c r="D225" s="252"/>
      <c r="E225" s="252"/>
      <c r="F225" s="252"/>
      <c r="G225" s="252"/>
      <c r="H225" s="252"/>
    </row>
    <row r="226" spans="1:8" s="6" customFormat="1" ht="15">
      <c r="A226" s="45" t="s">
        <v>429</v>
      </c>
      <c r="B226" s="25" t="s">
        <v>430</v>
      </c>
      <c r="C226" s="21" t="s">
        <v>431</v>
      </c>
      <c r="D226" s="16">
        <f>22*8*3</f>
        <v>528</v>
      </c>
      <c r="E226" s="14" t="s">
        <v>432</v>
      </c>
      <c r="F226" s="17">
        <v>114.57</v>
      </c>
      <c r="G226" s="18">
        <f>F226*1.2771</f>
        <v>146.31734699999998</v>
      </c>
      <c r="H226" s="18">
        <f>D226*G226</f>
        <v>77255.559216</v>
      </c>
    </row>
    <row r="227" spans="1:8" s="6" customFormat="1" ht="15">
      <c r="A227" s="45" t="s">
        <v>433</v>
      </c>
      <c r="B227" s="25" t="s">
        <v>434</v>
      </c>
      <c r="C227" s="21" t="s">
        <v>435</v>
      </c>
      <c r="D227" s="16">
        <f>22*8*3</f>
        <v>528</v>
      </c>
      <c r="E227" s="14" t="s">
        <v>432</v>
      </c>
      <c r="F227" s="17">
        <v>73.28</v>
      </c>
      <c r="G227" s="18">
        <f>F227*1.2771</f>
        <v>93.585888</v>
      </c>
      <c r="H227" s="18">
        <f>D227*G227</f>
        <v>49413.348864</v>
      </c>
    </row>
    <row r="228" spans="1:8" s="12" customFormat="1" ht="15">
      <c r="A228" s="19" t="s">
        <v>18</v>
      </c>
      <c r="B228" s="19"/>
      <c r="C228" s="50"/>
      <c r="D228" s="36"/>
      <c r="E228" s="19"/>
      <c r="F228" s="37"/>
      <c r="G228" s="20"/>
      <c r="H228" s="20">
        <f>SUM(H226:H227)</f>
        <v>126668.90808</v>
      </c>
    </row>
    <row r="229" spans="1:8" ht="15">
      <c r="A229" s="249" t="s">
        <v>436</v>
      </c>
      <c r="B229" s="249"/>
      <c r="C229" s="249"/>
      <c r="D229" s="46"/>
      <c r="E229" s="47"/>
      <c r="F229" s="48"/>
      <c r="G229" s="49"/>
      <c r="H229" s="51">
        <f>+H14+H29+H35+H39+H48+H55+H60+H66+H90+H187+H195+H210+H219+H224+H228</f>
        <v>1138718.565813792</v>
      </c>
    </row>
    <row r="230" ht="15">
      <c r="H230" s="52" t="s">
        <v>437</v>
      </c>
    </row>
    <row r="231" ht="15">
      <c r="H231" s="53"/>
    </row>
    <row r="232" ht="15">
      <c r="H232" s="53"/>
    </row>
    <row r="234" spans="2:8" ht="15">
      <c r="B234" s="54" t="s">
        <v>438</v>
      </c>
      <c r="C234" s="54"/>
      <c r="D234" s="54"/>
      <c r="F234" s="250" t="s">
        <v>438</v>
      </c>
      <c r="G234" s="250"/>
      <c r="H234" s="250"/>
    </row>
    <row r="235" spans="2:8" ht="15">
      <c r="B235" s="54" t="s">
        <v>439</v>
      </c>
      <c r="C235" s="54"/>
      <c r="D235" s="54"/>
      <c r="F235" s="250" t="s">
        <v>440</v>
      </c>
      <c r="G235" s="250"/>
      <c r="H235" s="250"/>
    </row>
    <row r="236" spans="2:8" ht="15">
      <c r="B236" s="54" t="s">
        <v>441</v>
      </c>
      <c r="C236" s="54"/>
      <c r="D236" s="54"/>
      <c r="F236" s="250" t="s">
        <v>442</v>
      </c>
      <c r="G236" s="250"/>
      <c r="H236" s="250"/>
    </row>
  </sheetData>
  <mergeCells count="37">
    <mergeCell ref="A1:H3"/>
    <mergeCell ref="A4:H5"/>
    <mergeCell ref="A6:A9"/>
    <mergeCell ref="B6:E6"/>
    <mergeCell ref="F6:H9"/>
    <mergeCell ref="B7:E7"/>
    <mergeCell ref="B8:E8"/>
    <mergeCell ref="B9:E9"/>
    <mergeCell ref="A10:H10"/>
    <mergeCell ref="A14:G14"/>
    <mergeCell ref="A29:G29"/>
    <mergeCell ref="C30:H30"/>
    <mergeCell ref="A35:G35"/>
    <mergeCell ref="C36:H36"/>
    <mergeCell ref="A39:G39"/>
    <mergeCell ref="C40:H40"/>
    <mergeCell ref="A48:G48"/>
    <mergeCell ref="C49:H49"/>
    <mergeCell ref="A55:G55"/>
    <mergeCell ref="C56:H56"/>
    <mergeCell ref="A60:G60"/>
    <mergeCell ref="C61:H61"/>
    <mergeCell ref="A66:G66"/>
    <mergeCell ref="C67:H67"/>
    <mergeCell ref="C68:H68"/>
    <mergeCell ref="C75:H75"/>
    <mergeCell ref="C80:H80"/>
    <mergeCell ref="C91:H91"/>
    <mergeCell ref="A229:C229"/>
    <mergeCell ref="F234:H234"/>
    <mergeCell ref="F235:H235"/>
    <mergeCell ref="F236:H236"/>
    <mergeCell ref="C145:H145"/>
    <mergeCell ref="C163:H163"/>
    <mergeCell ref="C188:H188"/>
    <mergeCell ref="C196:H196"/>
    <mergeCell ref="C225:H225"/>
  </mergeCells>
  <printOptions horizontalCentered="1"/>
  <pageMargins left="0.511805555555555" right="0.511805555555555" top="0.7875" bottom="0.7875" header="0.511805555555555" footer="0.511805555555555"/>
  <pageSetup fitToHeight="10" fitToWidth="1" horizontalDpi="300" verticalDpi="300" orientation="landscape" paperSize="9" scale="55" r:id="rId1"/>
  <colBreaks count="1" manualBreakCount="1">
    <brk id="8" max="16383" man="1"/>
  </colBreaks>
</worksheet>
</file>

<file path=xl/worksheets/sheet2.xml><?xml version="1.0" encoding="utf-8"?>
<worksheet xmlns="http://schemas.openxmlformats.org/spreadsheetml/2006/main" xmlns:r="http://schemas.openxmlformats.org/officeDocument/2006/relationships">
  <dimension ref="A1:D51"/>
  <sheetViews>
    <sheetView view="pageBreakPreview" zoomScale="65" zoomScaleSheetLayoutView="65" zoomScalePageLayoutView="65" workbookViewId="0" topLeftCell="A4">
      <selection activeCell="F57" sqref="F57"/>
    </sheetView>
  </sheetViews>
  <sheetFormatPr defaultColWidth="9.140625" defaultRowHeight="15"/>
  <cols>
    <col min="1" max="1" width="11.28125" style="0" customWidth="1"/>
    <col min="2" max="2" width="32.57421875" style="0" customWidth="1"/>
    <col min="3" max="3" width="9.28125" style="0" customWidth="1"/>
    <col min="4" max="4" width="16.00390625" style="0" customWidth="1"/>
    <col min="5" max="1025" width="8.7109375" style="0" customWidth="1"/>
  </cols>
  <sheetData>
    <row r="1" spans="1:4" ht="15" customHeight="1">
      <c r="A1" s="260" t="s">
        <v>443</v>
      </c>
      <c r="B1" s="260"/>
      <c r="C1" s="260"/>
      <c r="D1" s="260"/>
    </row>
    <row r="2" spans="1:4" ht="15">
      <c r="A2" s="55"/>
      <c r="B2" s="56"/>
      <c r="C2" s="56"/>
      <c r="D2" s="57"/>
    </row>
    <row r="3" spans="1:4" ht="15">
      <c r="A3" s="58" t="s">
        <v>444</v>
      </c>
      <c r="B3" s="59" t="s">
        <v>445</v>
      </c>
      <c r="C3" s="59" t="s">
        <v>446</v>
      </c>
      <c r="D3" s="60" t="s">
        <v>447</v>
      </c>
    </row>
    <row r="4" spans="1:4" ht="15">
      <c r="A4" s="55"/>
      <c r="B4" s="56"/>
      <c r="C4" s="61"/>
      <c r="D4" s="62"/>
    </row>
    <row r="5" spans="1:4" ht="15">
      <c r="A5" s="63" t="s">
        <v>448</v>
      </c>
      <c r="B5" s="56"/>
      <c r="C5" s="56"/>
      <c r="D5" s="64"/>
    </row>
    <row r="6" spans="1:4" ht="15">
      <c r="A6" s="55"/>
      <c r="B6" s="56"/>
      <c r="C6" s="56"/>
      <c r="D6" s="57"/>
    </row>
    <row r="7" spans="1:4" ht="15">
      <c r="A7" s="55" t="s">
        <v>449</v>
      </c>
      <c r="B7" s="56" t="s">
        <v>450</v>
      </c>
      <c r="C7" s="65">
        <v>0</v>
      </c>
      <c r="D7" s="66">
        <v>0</v>
      </c>
    </row>
    <row r="8" spans="1:4" ht="15">
      <c r="A8" s="55" t="s">
        <v>451</v>
      </c>
      <c r="B8" s="56" t="s">
        <v>452</v>
      </c>
      <c r="C8" s="65">
        <v>0.015</v>
      </c>
      <c r="D8" s="66">
        <v>0.015</v>
      </c>
    </row>
    <row r="9" spans="1:4" ht="15">
      <c r="A9" s="55" t="s">
        <v>453</v>
      </c>
      <c r="B9" s="56" t="s">
        <v>454</v>
      </c>
      <c r="C9" s="65">
        <v>0.01</v>
      </c>
      <c r="D9" s="66">
        <v>0.01</v>
      </c>
    </row>
    <row r="10" spans="1:4" ht="15">
      <c r="A10" s="55" t="s">
        <v>455</v>
      </c>
      <c r="B10" s="56" t="s">
        <v>456</v>
      </c>
      <c r="C10" s="65">
        <v>0.002</v>
      </c>
      <c r="D10" s="66">
        <v>0.002</v>
      </c>
    </row>
    <row r="11" spans="1:4" ht="15">
      <c r="A11" s="55" t="s">
        <v>457</v>
      </c>
      <c r="B11" s="56" t="s">
        <v>458</v>
      </c>
      <c r="C11" s="65">
        <v>0.006</v>
      </c>
      <c r="D11" s="66">
        <v>0.006</v>
      </c>
    </row>
    <row r="12" spans="1:4" ht="15">
      <c r="A12" s="55" t="s">
        <v>459</v>
      </c>
      <c r="B12" s="56" t="s">
        <v>460</v>
      </c>
      <c r="C12" s="65">
        <v>0.025</v>
      </c>
      <c r="D12" s="66">
        <v>0.025</v>
      </c>
    </row>
    <row r="13" spans="1:4" ht="15">
      <c r="A13" s="55" t="s">
        <v>461</v>
      </c>
      <c r="B13" s="56" t="s">
        <v>462</v>
      </c>
      <c r="C13" s="65">
        <v>0.03</v>
      </c>
      <c r="D13" s="66">
        <v>0.03</v>
      </c>
    </row>
    <row r="14" spans="1:4" ht="15">
      <c r="A14" s="55" t="s">
        <v>463</v>
      </c>
      <c r="B14" s="56" t="s">
        <v>464</v>
      </c>
      <c r="C14" s="65">
        <v>0.08</v>
      </c>
      <c r="D14" s="66">
        <v>0.08</v>
      </c>
    </row>
    <row r="15" spans="1:4" ht="15">
      <c r="A15" s="55" t="s">
        <v>465</v>
      </c>
      <c r="B15" s="56" t="s">
        <v>466</v>
      </c>
      <c r="C15" s="65">
        <v>0</v>
      </c>
      <c r="D15" s="66">
        <v>0</v>
      </c>
    </row>
    <row r="16" spans="1:4" ht="15">
      <c r="A16" s="55"/>
      <c r="B16" s="67" t="s">
        <v>467</v>
      </c>
      <c r="C16" s="68">
        <f>SUM(C7:C15)</f>
        <v>0.16799999999999998</v>
      </c>
      <c r="D16" s="69">
        <f>SUM(D7:D15)</f>
        <v>0.16799999999999998</v>
      </c>
    </row>
    <row r="17" spans="1:4" ht="15">
      <c r="A17" s="55"/>
      <c r="B17" s="56"/>
      <c r="C17" s="65"/>
      <c r="D17" s="66"/>
    </row>
    <row r="18" spans="1:4" ht="15">
      <c r="A18" s="55"/>
      <c r="B18" s="56"/>
      <c r="C18" s="65"/>
      <c r="D18" s="66"/>
    </row>
    <row r="19" spans="1:4" ht="15">
      <c r="A19" s="63" t="s">
        <v>468</v>
      </c>
      <c r="B19" s="56"/>
      <c r="C19" s="65"/>
      <c r="D19" s="66"/>
    </row>
    <row r="20" spans="1:4" ht="15">
      <c r="A20" s="55"/>
      <c r="B20" s="56"/>
      <c r="C20" s="65"/>
      <c r="D20" s="66"/>
    </row>
    <row r="21" spans="1:4" ht="15">
      <c r="A21" s="55" t="s">
        <v>469</v>
      </c>
      <c r="B21" s="56" t="s">
        <v>470</v>
      </c>
      <c r="C21" s="65">
        <v>0.1793</v>
      </c>
      <c r="D21" s="66" t="s">
        <v>471</v>
      </c>
    </row>
    <row r="22" spans="1:4" ht="15">
      <c r="A22" s="55" t="s">
        <v>472</v>
      </c>
      <c r="B22" s="56" t="s">
        <v>473</v>
      </c>
      <c r="C22" s="65">
        <v>0.0424</v>
      </c>
      <c r="D22" s="66" t="s">
        <v>471</v>
      </c>
    </row>
    <row r="23" spans="1:4" ht="15">
      <c r="A23" s="55" t="s">
        <v>474</v>
      </c>
      <c r="B23" s="56" t="s">
        <v>475</v>
      </c>
      <c r="C23" s="65">
        <v>0.0087</v>
      </c>
      <c r="D23" s="66">
        <v>0.0067</v>
      </c>
    </row>
    <row r="24" spans="1:4" ht="15">
      <c r="A24" s="55" t="s">
        <v>476</v>
      </c>
      <c r="B24" s="56" t="s">
        <v>477</v>
      </c>
      <c r="C24" s="65">
        <v>0.1078</v>
      </c>
      <c r="D24" s="66">
        <v>0.0833</v>
      </c>
    </row>
    <row r="25" spans="1:4" ht="15">
      <c r="A25" s="55" t="s">
        <v>478</v>
      </c>
      <c r="B25" s="56" t="s">
        <v>479</v>
      </c>
      <c r="C25" s="65">
        <v>0.0007</v>
      </c>
      <c r="D25" s="66">
        <v>0.0006</v>
      </c>
    </row>
    <row r="26" spans="1:4" ht="15">
      <c r="A26" s="55" t="s">
        <v>480</v>
      </c>
      <c r="B26" s="56" t="s">
        <v>481</v>
      </c>
      <c r="C26" s="65">
        <v>0.0072</v>
      </c>
      <c r="D26" s="66">
        <v>0.0056</v>
      </c>
    </row>
    <row r="27" spans="1:4" ht="15">
      <c r="A27" s="55" t="s">
        <v>482</v>
      </c>
      <c r="B27" s="56" t="s">
        <v>483</v>
      </c>
      <c r="C27" s="65">
        <v>0.0153</v>
      </c>
      <c r="D27" s="66" t="s">
        <v>471</v>
      </c>
    </row>
    <row r="28" spans="1:4" ht="15">
      <c r="A28" s="55" t="s">
        <v>484</v>
      </c>
      <c r="B28" s="56" t="s">
        <v>485</v>
      </c>
      <c r="C28" s="65">
        <v>0.0011</v>
      </c>
      <c r="D28" s="66">
        <v>0.0008</v>
      </c>
    </row>
    <row r="29" spans="1:4" ht="15">
      <c r="A29" s="55" t="s">
        <v>486</v>
      </c>
      <c r="B29" s="56" t="s">
        <v>487</v>
      </c>
      <c r="C29" s="65">
        <v>0.0774</v>
      </c>
      <c r="D29" s="66">
        <v>0.0598</v>
      </c>
    </row>
    <row r="30" spans="1:4" ht="15">
      <c r="A30" s="55" t="s">
        <v>488</v>
      </c>
      <c r="B30" s="56" t="s">
        <v>489</v>
      </c>
      <c r="C30" s="65">
        <v>0.0003</v>
      </c>
      <c r="D30" s="66">
        <v>0.0003</v>
      </c>
    </row>
    <row r="31" spans="1:4" ht="15">
      <c r="A31" s="55"/>
      <c r="B31" s="67" t="s">
        <v>490</v>
      </c>
      <c r="C31" s="68">
        <f>SUM(C21:C30)</f>
        <v>0.4402</v>
      </c>
      <c r="D31" s="69">
        <f>SUM(D21:D30)</f>
        <v>0.1571</v>
      </c>
    </row>
    <row r="32" spans="1:4" ht="15">
      <c r="A32" s="55"/>
      <c r="B32" s="56"/>
      <c r="C32" s="65"/>
      <c r="D32" s="66"/>
    </row>
    <row r="33" spans="1:4" ht="15">
      <c r="A33" s="55"/>
      <c r="B33" s="56"/>
      <c r="C33" s="65"/>
      <c r="D33" s="66"/>
    </row>
    <row r="34" spans="1:4" ht="15">
      <c r="A34" s="63" t="s">
        <v>491</v>
      </c>
      <c r="B34" s="56"/>
      <c r="C34" s="65"/>
      <c r="D34" s="66"/>
    </row>
    <row r="35" spans="1:4" ht="15">
      <c r="A35" s="55"/>
      <c r="B35" s="56"/>
      <c r="C35" s="65"/>
      <c r="D35" s="66"/>
    </row>
    <row r="36" spans="1:4" ht="15">
      <c r="A36" s="55" t="s">
        <v>492</v>
      </c>
      <c r="B36" s="56" t="s">
        <v>493</v>
      </c>
      <c r="C36" s="65">
        <v>0.0449</v>
      </c>
      <c r="D36" s="66">
        <v>0.0347</v>
      </c>
    </row>
    <row r="37" spans="1:4" ht="15">
      <c r="A37" s="55" t="s">
        <v>494</v>
      </c>
      <c r="B37" s="56" t="s">
        <v>495</v>
      </c>
      <c r="C37" s="65">
        <v>0.0011</v>
      </c>
      <c r="D37" s="66">
        <v>0.0008</v>
      </c>
    </row>
    <row r="38" spans="1:4" ht="15">
      <c r="A38" s="55" t="s">
        <v>496</v>
      </c>
      <c r="B38" s="56" t="s">
        <v>497</v>
      </c>
      <c r="C38" s="65">
        <v>0.0505</v>
      </c>
      <c r="D38" s="66">
        <v>0.039</v>
      </c>
    </row>
    <row r="39" spans="1:4" ht="15">
      <c r="A39" s="55" t="s">
        <v>498</v>
      </c>
      <c r="B39" s="56" t="s">
        <v>499</v>
      </c>
      <c r="C39" s="65">
        <v>0.0365</v>
      </c>
      <c r="D39" s="66">
        <v>0.0282</v>
      </c>
    </row>
    <row r="40" spans="1:4" ht="15">
      <c r="A40" s="55" t="s">
        <v>500</v>
      </c>
      <c r="B40" s="56" t="s">
        <v>501</v>
      </c>
      <c r="C40" s="65">
        <v>0.0038</v>
      </c>
      <c r="D40" s="66">
        <v>0.0029</v>
      </c>
    </row>
    <row r="41" spans="1:4" ht="15">
      <c r="A41" s="55"/>
      <c r="B41" s="67" t="s">
        <v>490</v>
      </c>
      <c r="C41" s="68">
        <f>SUM(C36:C40)</f>
        <v>0.1368</v>
      </c>
      <c r="D41" s="69">
        <f>SUM(D36:D40)</f>
        <v>0.10560000000000001</v>
      </c>
    </row>
    <row r="42" spans="1:4" ht="15">
      <c r="A42" s="55"/>
      <c r="B42" s="56"/>
      <c r="C42" s="65"/>
      <c r="D42" s="66"/>
    </row>
    <row r="43" spans="1:4" ht="15">
      <c r="A43" s="55"/>
      <c r="B43" s="56"/>
      <c r="C43" s="65"/>
      <c r="D43" s="66"/>
    </row>
    <row r="44" spans="1:4" ht="15">
      <c r="A44" s="63" t="s">
        <v>502</v>
      </c>
      <c r="B44" s="56"/>
      <c r="C44" s="65"/>
      <c r="D44" s="66"/>
    </row>
    <row r="45" spans="1:4" ht="15">
      <c r="A45" s="55"/>
      <c r="B45" s="56"/>
      <c r="C45" s="65"/>
      <c r="D45" s="66"/>
    </row>
    <row r="46" spans="1:4" ht="26.25">
      <c r="A46" s="55" t="s">
        <v>503</v>
      </c>
      <c r="B46" s="70" t="s">
        <v>504</v>
      </c>
      <c r="C46" s="65">
        <v>0.074</v>
      </c>
      <c r="D46" s="66">
        <v>0.0264</v>
      </c>
    </row>
    <row r="47" spans="1:4" ht="51.75">
      <c r="A47" s="71" t="s">
        <v>505</v>
      </c>
      <c r="B47" s="70" t="s">
        <v>506</v>
      </c>
      <c r="C47" s="72">
        <v>0.0038</v>
      </c>
      <c r="D47" s="73">
        <v>0.0029</v>
      </c>
    </row>
    <row r="48" spans="1:4" ht="15">
      <c r="A48" s="55"/>
      <c r="B48" s="67" t="s">
        <v>490</v>
      </c>
      <c r="C48" s="74">
        <f>SUM(C46:C47)</f>
        <v>0.0778</v>
      </c>
      <c r="D48" s="75">
        <f>SUM(D46:D47)</f>
        <v>0.0293</v>
      </c>
    </row>
    <row r="49" spans="1:4" ht="15">
      <c r="A49" s="55"/>
      <c r="B49" s="56"/>
      <c r="C49" s="74"/>
      <c r="D49" s="75"/>
    </row>
    <row r="50" spans="1:4" ht="15">
      <c r="A50" s="55"/>
      <c r="B50" s="56"/>
      <c r="C50" s="61"/>
      <c r="D50" s="62"/>
    </row>
    <row r="51" spans="1:4" ht="15">
      <c r="A51" s="261" t="s">
        <v>507</v>
      </c>
      <c r="B51" s="261"/>
      <c r="C51" s="76">
        <f>C48+C41+C31+C16</f>
        <v>0.8228</v>
      </c>
      <c r="D51" s="77">
        <f>D48+D41+D31+D16</f>
        <v>0.46</v>
      </c>
    </row>
  </sheetData>
  <mergeCells count="2">
    <mergeCell ref="A1:D1"/>
    <mergeCell ref="A51:B51"/>
  </mergeCells>
  <printOptions/>
  <pageMargins left="0.511805555555555" right="0.511805555555555" top="0.7875" bottom="0.7875" header="0.511805555555555" footer="0.51180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108"/>
  <sheetViews>
    <sheetView view="pageBreakPreview" zoomScaleSheetLayoutView="100" zoomScalePageLayoutView="65" workbookViewId="0" topLeftCell="A97">
      <selection activeCell="A116" sqref="A116"/>
    </sheetView>
  </sheetViews>
  <sheetFormatPr defaultColWidth="9.140625" defaultRowHeight="15"/>
  <cols>
    <col min="1" max="1" width="18.421875" style="0" customWidth="1"/>
    <col min="2" max="2" width="11.7109375" style="0" customWidth="1"/>
    <col min="3" max="3" width="53.140625" style="0" customWidth="1"/>
    <col min="4" max="4" width="8.7109375" style="0" customWidth="1"/>
    <col min="5" max="5" width="10.7109375" style="0" customWidth="1"/>
    <col min="6" max="6" width="11.421875" style="0" customWidth="1"/>
    <col min="7" max="7" width="12.00390625" style="0" customWidth="1"/>
    <col min="8" max="1025" width="8.7109375" style="0" customWidth="1"/>
  </cols>
  <sheetData>
    <row r="1" ht="15">
      <c r="C1" s="78" t="s">
        <v>508</v>
      </c>
    </row>
    <row r="2" ht="15.75">
      <c r="C2" s="79" t="s">
        <v>509</v>
      </c>
    </row>
    <row r="3" spans="1:8" ht="45">
      <c r="A3" s="80" t="s">
        <v>54</v>
      </c>
      <c r="B3" s="81">
        <v>96358</v>
      </c>
      <c r="C3" s="82" t="s">
        <v>55</v>
      </c>
      <c r="D3" s="81" t="s">
        <v>17</v>
      </c>
      <c r="E3" s="83" t="s">
        <v>510</v>
      </c>
      <c r="F3" s="83" t="s">
        <v>511</v>
      </c>
      <c r="G3" s="84">
        <f>SUM(G4:G15)</f>
        <v>191.422387</v>
      </c>
      <c r="H3" s="85"/>
    </row>
    <row r="4" spans="1:8" ht="22.5">
      <c r="A4" s="86" t="s">
        <v>512</v>
      </c>
      <c r="B4" s="86" t="s">
        <v>513</v>
      </c>
      <c r="C4" s="87" t="s">
        <v>514</v>
      </c>
      <c r="D4" s="86" t="s">
        <v>515</v>
      </c>
      <c r="E4" s="88" t="s">
        <v>516</v>
      </c>
      <c r="F4" s="89">
        <v>47.42</v>
      </c>
      <c r="G4" s="89">
        <f aca="true" t="shared" si="0" ref="G4:G15">E4*F4</f>
        <v>1.152306</v>
      </c>
      <c r="H4" s="85"/>
    </row>
    <row r="5" spans="1:8" ht="33.75">
      <c r="A5" s="90" t="s">
        <v>512</v>
      </c>
      <c r="B5" s="91">
        <v>39417</v>
      </c>
      <c r="C5" s="92" t="s">
        <v>517</v>
      </c>
      <c r="D5" s="90" t="s">
        <v>17</v>
      </c>
      <c r="E5" s="93" t="s">
        <v>518</v>
      </c>
      <c r="F5" s="94">
        <v>28.86</v>
      </c>
      <c r="G5" s="94">
        <f t="shared" si="0"/>
        <v>60.77916</v>
      </c>
      <c r="H5" s="85"/>
    </row>
    <row r="6" spans="1:8" ht="33.75">
      <c r="A6" s="90" t="s">
        <v>512</v>
      </c>
      <c r="B6" s="90" t="s">
        <v>519</v>
      </c>
      <c r="C6" s="95" t="s">
        <v>520</v>
      </c>
      <c r="D6" s="90" t="s">
        <v>30</v>
      </c>
      <c r="E6" s="93" t="s">
        <v>521</v>
      </c>
      <c r="F6" s="94">
        <v>12.33</v>
      </c>
      <c r="G6" s="94">
        <f t="shared" si="0"/>
        <v>9.375732</v>
      </c>
      <c r="H6" s="85"/>
    </row>
    <row r="7" spans="1:8" ht="33.75">
      <c r="A7" s="90" t="s">
        <v>512</v>
      </c>
      <c r="B7" s="90" t="s">
        <v>522</v>
      </c>
      <c r="C7" s="95" t="s">
        <v>523</v>
      </c>
      <c r="D7" s="90" t="s">
        <v>30</v>
      </c>
      <c r="E7" s="93" t="s">
        <v>524</v>
      </c>
      <c r="F7" s="94">
        <v>13.99</v>
      </c>
      <c r="G7" s="94">
        <f t="shared" si="0"/>
        <v>27.854090000000003</v>
      </c>
      <c r="H7" s="85"/>
    </row>
    <row r="8" spans="1:8" ht="33.75">
      <c r="A8" s="90" t="s">
        <v>512</v>
      </c>
      <c r="B8" s="90" t="s">
        <v>525</v>
      </c>
      <c r="C8" s="95" t="s">
        <v>526</v>
      </c>
      <c r="D8" s="90" t="s">
        <v>30</v>
      </c>
      <c r="E8" s="93" t="s">
        <v>527</v>
      </c>
      <c r="F8" s="94">
        <v>0.34</v>
      </c>
      <c r="G8" s="94">
        <f t="shared" si="0"/>
        <v>0.8509180000000001</v>
      </c>
      <c r="H8" s="85"/>
    </row>
    <row r="9" spans="1:8" ht="22.5">
      <c r="A9" s="90" t="s">
        <v>512</v>
      </c>
      <c r="B9" s="90" t="s">
        <v>528</v>
      </c>
      <c r="C9" s="95" t="s">
        <v>529</v>
      </c>
      <c r="D9" s="90" t="s">
        <v>30</v>
      </c>
      <c r="E9" s="93" t="s">
        <v>530</v>
      </c>
      <c r="F9" s="94">
        <v>3.03</v>
      </c>
      <c r="G9" s="94">
        <f t="shared" si="0"/>
        <v>2.244321</v>
      </c>
      <c r="H9" s="85"/>
    </row>
    <row r="10" spans="1:8" ht="33.75">
      <c r="A10" s="90" t="s">
        <v>512</v>
      </c>
      <c r="B10" s="90" t="s">
        <v>531</v>
      </c>
      <c r="C10" s="95" t="s">
        <v>532</v>
      </c>
      <c r="D10" s="90" t="s">
        <v>533</v>
      </c>
      <c r="E10" s="93" t="s">
        <v>534</v>
      </c>
      <c r="F10" s="94">
        <v>3.79</v>
      </c>
      <c r="G10" s="94">
        <f t="shared" si="0"/>
        <v>3.9139329999999997</v>
      </c>
      <c r="H10" s="85"/>
    </row>
    <row r="11" spans="1:8" ht="22.5">
      <c r="A11" s="90" t="s">
        <v>512</v>
      </c>
      <c r="B11" s="90" t="s">
        <v>535</v>
      </c>
      <c r="C11" s="95" t="s">
        <v>536</v>
      </c>
      <c r="D11" s="90" t="s">
        <v>39</v>
      </c>
      <c r="E11" s="93" t="s">
        <v>537</v>
      </c>
      <c r="F11" s="94">
        <v>0.1</v>
      </c>
      <c r="G11" s="94">
        <f t="shared" si="0"/>
        <v>2.00077</v>
      </c>
      <c r="H11" s="85"/>
    </row>
    <row r="12" spans="1:8" ht="33.75">
      <c r="A12" s="90" t="s">
        <v>512</v>
      </c>
      <c r="B12" s="90" t="s">
        <v>538</v>
      </c>
      <c r="C12" s="95" t="s">
        <v>539</v>
      </c>
      <c r="D12" s="90" t="s">
        <v>39</v>
      </c>
      <c r="E12" s="93" t="s">
        <v>540</v>
      </c>
      <c r="F12" s="94">
        <v>0.25</v>
      </c>
      <c r="G12" s="94">
        <f t="shared" si="0"/>
        <v>0.2019</v>
      </c>
      <c r="H12" s="85"/>
    </row>
    <row r="13" spans="1:8" ht="22.5">
      <c r="A13" s="90" t="s">
        <v>541</v>
      </c>
      <c r="B13" s="90" t="s">
        <v>542</v>
      </c>
      <c r="C13" s="95" t="s">
        <v>543</v>
      </c>
      <c r="D13" s="90" t="s">
        <v>432</v>
      </c>
      <c r="E13" s="93" t="s">
        <v>544</v>
      </c>
      <c r="F13" s="94">
        <v>22.01</v>
      </c>
      <c r="G13" s="94">
        <f t="shared" si="0"/>
        <v>11.993249000000002</v>
      </c>
      <c r="H13" s="85"/>
    </row>
    <row r="14" spans="1:8" ht="15">
      <c r="A14" s="90" t="s">
        <v>541</v>
      </c>
      <c r="B14" s="90" t="s">
        <v>545</v>
      </c>
      <c r="C14" s="95" t="s">
        <v>546</v>
      </c>
      <c r="D14" s="90" t="s">
        <v>432</v>
      </c>
      <c r="E14" s="93" t="s">
        <v>547</v>
      </c>
      <c r="F14" s="94">
        <v>18.84</v>
      </c>
      <c r="G14" s="94">
        <f t="shared" si="0"/>
        <v>2.5660079999999996</v>
      </c>
      <c r="H14" s="85"/>
    </row>
    <row r="15" spans="1:8" ht="22.5">
      <c r="A15" s="96" t="s">
        <v>512</v>
      </c>
      <c r="B15" s="96">
        <v>3413</v>
      </c>
      <c r="C15" s="97" t="s">
        <v>548</v>
      </c>
      <c r="D15" s="96" t="s">
        <v>17</v>
      </c>
      <c r="E15" s="98">
        <v>1</v>
      </c>
      <c r="F15" s="94">
        <v>68.49</v>
      </c>
      <c r="G15" s="94">
        <f t="shared" si="0"/>
        <v>68.49</v>
      </c>
      <c r="H15" s="99" t="s">
        <v>549</v>
      </c>
    </row>
    <row r="18" spans="1:8" ht="33.75">
      <c r="A18" s="100" t="s">
        <v>66</v>
      </c>
      <c r="B18" s="100"/>
      <c r="C18" s="101" t="s">
        <v>67</v>
      </c>
      <c r="D18" s="100"/>
      <c r="E18" s="102"/>
      <c r="F18" s="102"/>
      <c r="G18" s="103"/>
      <c r="H18" s="85"/>
    </row>
    <row r="19" spans="1:8" ht="33.75">
      <c r="A19" s="100" t="s">
        <v>512</v>
      </c>
      <c r="B19" s="100">
        <v>39417</v>
      </c>
      <c r="C19" s="101" t="s">
        <v>550</v>
      </c>
      <c r="D19" s="100" t="s">
        <v>551</v>
      </c>
      <c r="E19" s="102">
        <v>1.0665</v>
      </c>
      <c r="F19" s="102">
        <v>30.23</v>
      </c>
      <c r="G19" s="103">
        <f aca="true" t="shared" si="1" ref="G19:G28">E19*F19</f>
        <v>32.240295</v>
      </c>
      <c r="H19" s="85"/>
    </row>
    <row r="20" spans="1:8" ht="33.75">
      <c r="A20" s="100" t="s">
        <v>512</v>
      </c>
      <c r="B20" s="100">
        <v>39427</v>
      </c>
      <c r="C20" s="101" t="s">
        <v>552</v>
      </c>
      <c r="D20" s="100" t="s">
        <v>30</v>
      </c>
      <c r="E20" s="102">
        <v>2.4</v>
      </c>
      <c r="F20" s="102">
        <v>9.1</v>
      </c>
      <c r="G20" s="103">
        <f t="shared" si="1"/>
        <v>21.84</v>
      </c>
      <c r="H20" s="85"/>
    </row>
    <row r="21" spans="1:8" ht="33.75">
      <c r="A21" s="100" t="s">
        <v>512</v>
      </c>
      <c r="B21" s="100">
        <v>39430</v>
      </c>
      <c r="C21" s="101" t="s">
        <v>553</v>
      </c>
      <c r="D21" s="100" t="s">
        <v>39</v>
      </c>
      <c r="E21" s="102">
        <v>2.2122</v>
      </c>
      <c r="F21" s="102">
        <v>3.43</v>
      </c>
      <c r="G21" s="103">
        <f t="shared" si="1"/>
        <v>7.587846000000001</v>
      </c>
      <c r="H21" s="85"/>
    </row>
    <row r="22" spans="1:8" ht="22.5">
      <c r="A22" s="100" t="s">
        <v>512</v>
      </c>
      <c r="B22" s="100">
        <v>39432</v>
      </c>
      <c r="C22" s="101" t="s">
        <v>529</v>
      </c>
      <c r="D22" s="100" t="s">
        <v>30</v>
      </c>
      <c r="E22" s="102">
        <v>1.4404</v>
      </c>
      <c r="F22" s="102">
        <v>3.17</v>
      </c>
      <c r="G22" s="103">
        <f t="shared" si="1"/>
        <v>4.566068</v>
      </c>
      <c r="H22" s="85"/>
    </row>
    <row r="23" spans="1:8" ht="33.75">
      <c r="A23" s="100" t="s">
        <v>512</v>
      </c>
      <c r="B23" s="100">
        <v>39434</v>
      </c>
      <c r="C23" s="101" t="s">
        <v>554</v>
      </c>
      <c r="D23" s="100" t="s">
        <v>533</v>
      </c>
      <c r="E23" s="102">
        <v>0.5202</v>
      </c>
      <c r="F23" s="102">
        <v>3.97</v>
      </c>
      <c r="G23" s="103">
        <f t="shared" si="1"/>
        <v>2.065194</v>
      </c>
      <c r="H23" s="85"/>
    </row>
    <row r="24" spans="1:8" ht="22.5">
      <c r="A24" s="100" t="s">
        <v>512</v>
      </c>
      <c r="B24" s="100">
        <v>39435</v>
      </c>
      <c r="C24" s="101" t="s">
        <v>536</v>
      </c>
      <c r="D24" s="100" t="s">
        <v>39</v>
      </c>
      <c r="E24" s="102">
        <v>7.974</v>
      </c>
      <c r="F24" s="102">
        <v>0.12</v>
      </c>
      <c r="G24" s="103">
        <f t="shared" si="1"/>
        <v>0.95688</v>
      </c>
      <c r="H24" s="85"/>
    </row>
    <row r="25" spans="1:8" ht="22.5">
      <c r="A25" s="100" t="s">
        <v>512</v>
      </c>
      <c r="B25" s="100">
        <v>40547</v>
      </c>
      <c r="C25" s="101" t="s">
        <v>555</v>
      </c>
      <c r="D25" s="100" t="s">
        <v>515</v>
      </c>
      <c r="E25" s="102">
        <v>0.0221</v>
      </c>
      <c r="F25" s="102">
        <v>31.18</v>
      </c>
      <c r="G25" s="103">
        <f t="shared" si="1"/>
        <v>0.6890780000000001</v>
      </c>
      <c r="H25" s="85"/>
    </row>
    <row r="26" spans="1:8" ht="33.75">
      <c r="A26" s="100" t="s">
        <v>512</v>
      </c>
      <c r="B26" s="100">
        <v>43131</v>
      </c>
      <c r="C26" s="101" t="s">
        <v>556</v>
      </c>
      <c r="D26" s="100" t="s">
        <v>533</v>
      </c>
      <c r="E26" s="102">
        <v>0.0711</v>
      </c>
      <c r="F26" s="102">
        <v>29.21</v>
      </c>
      <c r="G26" s="103">
        <f t="shared" si="1"/>
        <v>2.076831</v>
      </c>
      <c r="H26" s="85"/>
    </row>
    <row r="27" spans="1:8" ht="22.5">
      <c r="A27" s="100" t="s">
        <v>541</v>
      </c>
      <c r="B27" s="100">
        <v>88278</v>
      </c>
      <c r="C27" s="101" t="s">
        <v>543</v>
      </c>
      <c r="D27" s="100" t="s">
        <v>432</v>
      </c>
      <c r="E27" s="102">
        <v>0.4566</v>
      </c>
      <c r="F27" s="102">
        <v>22.01</v>
      </c>
      <c r="G27" s="103">
        <f t="shared" si="1"/>
        <v>10.049766</v>
      </c>
      <c r="H27" s="85"/>
    </row>
    <row r="28" spans="1:8" ht="15">
      <c r="A28" s="100" t="s">
        <v>541</v>
      </c>
      <c r="B28" s="100">
        <v>88316</v>
      </c>
      <c r="C28" s="101" t="s">
        <v>546</v>
      </c>
      <c r="D28" s="100" t="s">
        <v>432</v>
      </c>
      <c r="E28" s="102">
        <v>0.4566</v>
      </c>
      <c r="F28" s="102">
        <v>18.84</v>
      </c>
      <c r="G28" s="103">
        <f t="shared" si="1"/>
        <v>8.602344</v>
      </c>
      <c r="H28" s="85"/>
    </row>
    <row r="29" spans="1:8" ht="15">
      <c r="A29" s="100"/>
      <c r="B29" s="100"/>
      <c r="C29" s="104"/>
      <c r="D29" s="100"/>
      <c r="E29" s="102"/>
      <c r="F29" s="102"/>
      <c r="G29" s="103">
        <f>SUM(G19:G28)</f>
        <v>90.67430200000001</v>
      </c>
      <c r="H29" s="85"/>
    </row>
    <row r="32" spans="1:7" ht="15">
      <c r="A32" s="100" t="s">
        <v>378</v>
      </c>
      <c r="B32" s="105"/>
      <c r="C32" s="106" t="s">
        <v>379</v>
      </c>
      <c r="D32" s="96" t="s">
        <v>39</v>
      </c>
      <c r="E32" s="107" t="s">
        <v>557</v>
      </c>
      <c r="F32" s="108" t="s">
        <v>558</v>
      </c>
      <c r="G32" s="109" t="s">
        <v>559</v>
      </c>
    </row>
    <row r="33" spans="1:7" ht="23.25">
      <c r="A33" s="110" t="s">
        <v>512</v>
      </c>
      <c r="B33" s="111">
        <v>4358</v>
      </c>
      <c r="C33" s="112" t="s">
        <v>560</v>
      </c>
      <c r="D33" s="90" t="s">
        <v>561</v>
      </c>
      <c r="E33" s="113">
        <v>10</v>
      </c>
      <c r="F33" s="111">
        <v>2.31</v>
      </c>
      <c r="G33" s="114">
        <f>E33*F33</f>
        <v>23.1</v>
      </c>
    </row>
    <row r="34" spans="1:7" ht="34.5">
      <c r="A34" s="110" t="s">
        <v>512</v>
      </c>
      <c r="B34" s="111">
        <v>21106</v>
      </c>
      <c r="C34" s="112" t="s">
        <v>562</v>
      </c>
      <c r="D34" s="111" t="s">
        <v>563</v>
      </c>
      <c r="E34" s="115">
        <v>0.7</v>
      </c>
      <c r="F34" s="111">
        <v>47.28</v>
      </c>
      <c r="G34" s="114">
        <f>E34*F34</f>
        <v>33.096</v>
      </c>
    </row>
    <row r="35" spans="1:7" ht="15">
      <c r="A35" s="110" t="s">
        <v>541</v>
      </c>
      <c r="B35" s="111">
        <v>12868</v>
      </c>
      <c r="C35" s="112" t="s">
        <v>564</v>
      </c>
      <c r="D35" s="111" t="s">
        <v>565</v>
      </c>
      <c r="E35" s="111">
        <v>1</v>
      </c>
      <c r="F35" s="111">
        <v>16.3</v>
      </c>
      <c r="G35" s="114">
        <f>E35*F35</f>
        <v>16.3</v>
      </c>
    </row>
    <row r="36" spans="1:7" ht="15">
      <c r="A36" s="110" t="s">
        <v>541</v>
      </c>
      <c r="B36" s="111">
        <v>88316</v>
      </c>
      <c r="C36" s="112" t="s">
        <v>546</v>
      </c>
      <c r="D36" s="90" t="s">
        <v>432</v>
      </c>
      <c r="E36" s="113">
        <v>1</v>
      </c>
      <c r="F36" s="113">
        <v>18.84</v>
      </c>
      <c r="G36" s="114">
        <f>E36*F36</f>
        <v>18.84</v>
      </c>
    </row>
    <row r="37" spans="1:7" ht="15">
      <c r="A37" s="116"/>
      <c r="G37" s="117">
        <f>SUM(G33:G36)</f>
        <v>91.336</v>
      </c>
    </row>
    <row r="39" spans="1:7" ht="39">
      <c r="A39" s="100" t="s">
        <v>88</v>
      </c>
      <c r="B39" s="105"/>
      <c r="C39" s="106" t="s">
        <v>89</v>
      </c>
      <c r="D39" s="96" t="s">
        <v>566</v>
      </c>
      <c r="E39" s="107" t="s">
        <v>557</v>
      </c>
      <c r="F39" s="108" t="s">
        <v>558</v>
      </c>
      <c r="G39" s="109" t="s">
        <v>559</v>
      </c>
    </row>
    <row r="40" spans="1:7" ht="15">
      <c r="A40" s="118" t="s">
        <v>512</v>
      </c>
      <c r="B40" s="118">
        <v>39426</v>
      </c>
      <c r="C40" s="118" t="s">
        <v>89</v>
      </c>
      <c r="D40" s="118" t="s">
        <v>566</v>
      </c>
      <c r="E40" s="118">
        <v>1.1</v>
      </c>
      <c r="F40" s="119">
        <v>36.62</v>
      </c>
      <c r="G40" s="114">
        <f>E40*F40</f>
        <v>40.282000000000004</v>
      </c>
    </row>
    <row r="41" spans="1:7" ht="15">
      <c r="A41" s="118" t="s">
        <v>541</v>
      </c>
      <c r="B41" s="118" t="s">
        <v>542</v>
      </c>
      <c r="C41" s="118" t="s">
        <v>543</v>
      </c>
      <c r="D41" s="118" t="s">
        <v>432</v>
      </c>
      <c r="E41" s="118">
        <v>1.0549</v>
      </c>
      <c r="F41" s="119">
        <v>22.01</v>
      </c>
      <c r="G41" s="114">
        <f>E41*F41</f>
        <v>23.218349</v>
      </c>
    </row>
    <row r="42" spans="1:7" ht="15">
      <c r="A42" s="118" t="s">
        <v>541</v>
      </c>
      <c r="B42" s="118" t="s">
        <v>545</v>
      </c>
      <c r="C42" s="118" t="s">
        <v>546</v>
      </c>
      <c r="D42" s="118" t="s">
        <v>432</v>
      </c>
      <c r="E42" s="118">
        <v>0.2637</v>
      </c>
      <c r="F42" s="119">
        <v>18.84</v>
      </c>
      <c r="G42" s="114">
        <f>E42*F42</f>
        <v>4.968108</v>
      </c>
    </row>
    <row r="43" ht="15">
      <c r="G43" s="117">
        <f>SUM(G39:G42)</f>
        <v>68.468457</v>
      </c>
    </row>
    <row r="45" spans="1:7" ht="39">
      <c r="A45" s="100" t="s">
        <v>109</v>
      </c>
      <c r="B45" s="105"/>
      <c r="C45" s="106" t="s">
        <v>110</v>
      </c>
      <c r="D45" s="96" t="s">
        <v>39</v>
      </c>
      <c r="E45" s="107" t="s">
        <v>557</v>
      </c>
      <c r="F45" s="108" t="s">
        <v>558</v>
      </c>
      <c r="G45" s="109" t="s">
        <v>559</v>
      </c>
    </row>
    <row r="46" spans="1:7" ht="15">
      <c r="A46" s="118" t="s">
        <v>512</v>
      </c>
      <c r="B46" s="118">
        <v>34381</v>
      </c>
      <c r="C46" s="118" t="s">
        <v>567</v>
      </c>
      <c r="D46" s="118" t="s">
        <v>561</v>
      </c>
      <c r="E46" s="118">
        <v>2.3</v>
      </c>
      <c r="F46" s="119">
        <v>348.58</v>
      </c>
      <c r="G46" s="114">
        <f>E46*F46</f>
        <v>801.7339999999999</v>
      </c>
    </row>
    <row r="47" spans="1:7" ht="15">
      <c r="A47" s="118" t="s">
        <v>541</v>
      </c>
      <c r="B47" s="118">
        <v>88309</v>
      </c>
      <c r="C47" s="118" t="s">
        <v>568</v>
      </c>
      <c r="D47" s="118" t="s">
        <v>432</v>
      </c>
      <c r="E47" s="118">
        <v>4.581</v>
      </c>
      <c r="F47" s="119">
        <v>22.79</v>
      </c>
      <c r="G47" s="114">
        <f>E47*F47</f>
        <v>104.40099000000001</v>
      </c>
    </row>
    <row r="48" spans="1:7" ht="15">
      <c r="A48" s="118" t="s">
        <v>541</v>
      </c>
      <c r="B48" s="118">
        <v>88316</v>
      </c>
      <c r="C48" s="118" t="s">
        <v>546</v>
      </c>
      <c r="D48" s="118" t="s">
        <v>432</v>
      </c>
      <c r="E48" s="118">
        <v>2.291</v>
      </c>
      <c r="F48" s="119">
        <v>18.84</v>
      </c>
      <c r="G48" s="114">
        <f>E48*F48</f>
        <v>43.16244</v>
      </c>
    </row>
    <row r="49" spans="1:7" ht="15">
      <c r="A49" s="120" t="s">
        <v>541</v>
      </c>
      <c r="B49" s="118">
        <v>88629</v>
      </c>
      <c r="C49" s="120" t="s">
        <v>569</v>
      </c>
      <c r="D49" s="120" t="s">
        <v>22</v>
      </c>
      <c r="E49" s="120">
        <v>0.021</v>
      </c>
      <c r="F49" s="120">
        <v>600.13</v>
      </c>
      <c r="G49" s="121">
        <f>E49*F49</f>
        <v>12.602730000000001</v>
      </c>
    </row>
    <row r="50" spans="1:7" ht="15">
      <c r="A50" s="118" t="s">
        <v>512</v>
      </c>
      <c r="B50" s="118">
        <v>36888</v>
      </c>
      <c r="C50" s="118" t="s">
        <v>570</v>
      </c>
      <c r="D50" s="118" t="s">
        <v>566</v>
      </c>
      <c r="E50" s="118">
        <v>2.94</v>
      </c>
      <c r="F50" s="119">
        <v>34.71</v>
      </c>
      <c r="G50" s="114">
        <f>E50*F50</f>
        <v>102.0474</v>
      </c>
    </row>
    <row r="51" spans="1:7" ht="15">
      <c r="A51" s="122"/>
      <c r="B51" s="122"/>
      <c r="C51" s="122"/>
      <c r="D51" s="122"/>
      <c r="E51" s="122"/>
      <c r="F51" s="123"/>
      <c r="G51" s="124">
        <f>SUM(G46:G50)</f>
        <v>1063.9475599999998</v>
      </c>
    </row>
    <row r="52" s="125" customFormat="1" ht="15"/>
    <row r="55" spans="1:7" ht="15">
      <c r="A55" s="100" t="s">
        <v>398</v>
      </c>
      <c r="B55" s="96"/>
      <c r="C55" s="126" t="s">
        <v>399</v>
      </c>
      <c r="D55" s="96" t="s">
        <v>39</v>
      </c>
      <c r="E55" s="107" t="s">
        <v>557</v>
      </c>
      <c r="F55" s="108" t="s">
        <v>558</v>
      </c>
      <c r="G55" s="109" t="s">
        <v>559</v>
      </c>
    </row>
    <row r="56" spans="1:7" ht="15">
      <c r="A56" s="90"/>
      <c r="B56" s="90" t="s">
        <v>571</v>
      </c>
      <c r="C56" s="95" t="s">
        <v>572</v>
      </c>
      <c r="D56" s="90" t="s">
        <v>39</v>
      </c>
      <c r="E56" s="93">
        <v>1</v>
      </c>
      <c r="F56" s="114">
        <v>249.9</v>
      </c>
      <c r="G56" s="114">
        <f>+F56*E56</f>
        <v>249.9</v>
      </c>
    </row>
    <row r="57" spans="1:7" ht="15">
      <c r="A57" s="90" t="s">
        <v>541</v>
      </c>
      <c r="B57" s="90" t="s">
        <v>573</v>
      </c>
      <c r="C57" s="95" t="s">
        <v>574</v>
      </c>
      <c r="D57" s="90" t="s">
        <v>432</v>
      </c>
      <c r="E57" s="93" t="s">
        <v>575</v>
      </c>
      <c r="F57" s="114">
        <v>23.23</v>
      </c>
      <c r="G57" s="114">
        <f>+F57*E57</f>
        <v>10.4535</v>
      </c>
    </row>
    <row r="58" spans="1:7" ht="15">
      <c r="A58" s="90" t="s">
        <v>541</v>
      </c>
      <c r="B58" s="90" t="s">
        <v>545</v>
      </c>
      <c r="C58" s="95" t="s">
        <v>546</v>
      </c>
      <c r="D58" s="90" t="s">
        <v>432</v>
      </c>
      <c r="E58" s="93" t="s">
        <v>576</v>
      </c>
      <c r="F58" s="114">
        <v>18.84</v>
      </c>
      <c r="G58" s="114">
        <f>+F58*E58</f>
        <v>5.652</v>
      </c>
    </row>
    <row r="59" spans="1:7" ht="15">
      <c r="A59" s="85"/>
      <c r="B59" s="85"/>
      <c r="C59" s="85"/>
      <c r="D59" s="85"/>
      <c r="E59" s="85"/>
      <c r="F59" s="127"/>
      <c r="G59" s="128">
        <f>SUM(G56:G58)</f>
        <v>266.0055</v>
      </c>
    </row>
    <row r="60" spans="1:7" ht="18.75">
      <c r="A60" s="2"/>
      <c r="B60" s="2"/>
      <c r="C60" s="2"/>
      <c r="D60" s="2"/>
      <c r="E60" s="2"/>
      <c r="F60" s="2"/>
      <c r="G60" s="2"/>
    </row>
    <row r="61" spans="1:7" ht="15">
      <c r="A61" s="100" t="s">
        <v>401</v>
      </c>
      <c r="B61" s="90"/>
      <c r="C61" s="95" t="s">
        <v>402</v>
      </c>
      <c r="D61" s="90" t="s">
        <v>30</v>
      </c>
      <c r="E61" s="129" t="s">
        <v>557</v>
      </c>
      <c r="F61" s="108" t="s">
        <v>558</v>
      </c>
      <c r="G61" s="109" t="s">
        <v>559</v>
      </c>
    </row>
    <row r="62" spans="1:7" ht="15">
      <c r="A62" s="90"/>
      <c r="B62" s="90" t="s">
        <v>571</v>
      </c>
      <c r="C62" s="95" t="s">
        <v>577</v>
      </c>
      <c r="D62" s="90" t="s">
        <v>30</v>
      </c>
      <c r="E62" s="93">
        <f>2.5+4.5+2+2.5+2.5</f>
        <v>14</v>
      </c>
      <c r="F62" s="114">
        <v>28</v>
      </c>
      <c r="G62" s="114">
        <f>+F62*E62</f>
        <v>392</v>
      </c>
    </row>
    <row r="63" spans="1:7" ht="15">
      <c r="A63" s="90"/>
      <c r="B63" s="90" t="s">
        <v>571</v>
      </c>
      <c r="C63" s="95" t="s">
        <v>578</v>
      </c>
      <c r="D63" s="90" t="s">
        <v>579</v>
      </c>
      <c r="E63" s="93">
        <v>5</v>
      </c>
      <c r="F63" s="114">
        <v>25.9</v>
      </c>
      <c r="G63" s="114">
        <f>+F63*E63</f>
        <v>129.5</v>
      </c>
    </row>
    <row r="64" spans="1:7" ht="15">
      <c r="A64" s="90" t="s">
        <v>541</v>
      </c>
      <c r="B64" s="90" t="s">
        <v>573</v>
      </c>
      <c r="C64" s="95" t="s">
        <v>574</v>
      </c>
      <c r="D64" s="90" t="s">
        <v>432</v>
      </c>
      <c r="E64" s="93">
        <v>8</v>
      </c>
      <c r="F64" s="114">
        <v>23.23</v>
      </c>
      <c r="G64" s="114">
        <f>+F64*E64</f>
        <v>185.84</v>
      </c>
    </row>
    <row r="65" spans="1:7" ht="15">
      <c r="A65" s="90" t="s">
        <v>541</v>
      </c>
      <c r="B65" s="90" t="s">
        <v>545</v>
      </c>
      <c r="C65" s="95" t="s">
        <v>546</v>
      </c>
      <c r="D65" s="90" t="s">
        <v>432</v>
      </c>
      <c r="E65" s="93">
        <v>4</v>
      </c>
      <c r="F65" s="114">
        <v>18.84</v>
      </c>
      <c r="G65" s="114">
        <f>+F65*E65</f>
        <v>75.36</v>
      </c>
    </row>
    <row r="66" spans="1:7" ht="15">
      <c r="A66" s="85"/>
      <c r="B66" s="85"/>
      <c r="C66" s="85"/>
      <c r="D66" s="85"/>
      <c r="E66" s="85"/>
      <c r="F66" s="130" t="s">
        <v>580</v>
      </c>
      <c r="G66" s="128">
        <f>SUM(G62:G65)</f>
        <v>782.7</v>
      </c>
    </row>
    <row r="67" spans="6:7" ht="15">
      <c r="F67" s="116" t="s">
        <v>581</v>
      </c>
      <c r="G67" s="131">
        <f>+E62</f>
        <v>14</v>
      </c>
    </row>
    <row r="68" spans="6:7" ht="15">
      <c r="F68" s="132" t="s">
        <v>582</v>
      </c>
      <c r="G68" s="133">
        <f>+G66/G67</f>
        <v>55.90714285714286</v>
      </c>
    </row>
    <row r="71" spans="1:7" ht="33.75">
      <c r="A71" s="100" t="s">
        <v>405</v>
      </c>
      <c r="B71" s="90"/>
      <c r="C71" s="95" t="s">
        <v>583</v>
      </c>
      <c r="D71" s="90" t="s">
        <v>30</v>
      </c>
      <c r="E71" s="129" t="s">
        <v>557</v>
      </c>
      <c r="F71" s="108" t="s">
        <v>558</v>
      </c>
      <c r="G71" s="109" t="s">
        <v>559</v>
      </c>
    </row>
    <row r="72" spans="1:7" ht="15">
      <c r="A72" s="134" t="s">
        <v>512</v>
      </c>
      <c r="B72" s="134" t="s">
        <v>584</v>
      </c>
      <c r="C72" s="134" t="s">
        <v>585</v>
      </c>
      <c r="D72" s="134" t="s">
        <v>30</v>
      </c>
      <c r="E72" s="134">
        <v>1.0211</v>
      </c>
      <c r="F72" s="114">
        <v>54.68</v>
      </c>
      <c r="G72" s="114">
        <f aca="true" t="shared" si="2" ref="G72:G77">+F72*E72</f>
        <v>55.83374799999999</v>
      </c>
    </row>
    <row r="73" spans="1:7" ht="15">
      <c r="A73" s="134" t="s">
        <v>541</v>
      </c>
      <c r="B73" s="134" t="s">
        <v>586</v>
      </c>
      <c r="C73" s="134" t="s">
        <v>587</v>
      </c>
      <c r="D73" s="134" t="s">
        <v>432</v>
      </c>
      <c r="E73" s="134">
        <v>0.338</v>
      </c>
      <c r="F73" s="114">
        <v>19.53</v>
      </c>
      <c r="G73" s="114">
        <f t="shared" si="2"/>
        <v>6.601140000000001</v>
      </c>
    </row>
    <row r="74" spans="1:7" ht="15">
      <c r="A74" s="134" t="s">
        <v>541</v>
      </c>
      <c r="B74" s="134" t="s">
        <v>588</v>
      </c>
      <c r="C74" s="134" t="s">
        <v>589</v>
      </c>
      <c r="D74" s="134" t="s">
        <v>432</v>
      </c>
      <c r="E74" s="134">
        <v>0.338</v>
      </c>
      <c r="F74" s="114">
        <v>22.28</v>
      </c>
      <c r="G74" s="114">
        <f t="shared" si="2"/>
        <v>7.530640000000001</v>
      </c>
    </row>
    <row r="75" spans="1:7" ht="15">
      <c r="A75" s="134" t="s">
        <v>512</v>
      </c>
      <c r="B75" s="134" t="s">
        <v>590</v>
      </c>
      <c r="C75" s="134" t="s">
        <v>591</v>
      </c>
      <c r="D75" s="134" t="s">
        <v>39</v>
      </c>
      <c r="E75" s="134">
        <v>0.05</v>
      </c>
      <c r="F75" s="114">
        <v>333.94</v>
      </c>
      <c r="G75" s="114">
        <f t="shared" si="2"/>
        <v>16.697</v>
      </c>
    </row>
    <row r="76" spans="1:7" ht="15">
      <c r="A76" s="134" t="s">
        <v>512</v>
      </c>
      <c r="B76" s="134" t="s">
        <v>592</v>
      </c>
      <c r="C76" s="134" t="s">
        <v>593</v>
      </c>
      <c r="D76" s="134" t="s">
        <v>39</v>
      </c>
      <c r="E76" s="134">
        <v>1</v>
      </c>
      <c r="F76" s="114">
        <v>2.28</v>
      </c>
      <c r="G76" s="114">
        <f t="shared" si="2"/>
        <v>2.28</v>
      </c>
    </row>
    <row r="77" spans="1:7" ht="15">
      <c r="A77" s="134" t="s">
        <v>512</v>
      </c>
      <c r="B77" s="134" t="s">
        <v>594</v>
      </c>
      <c r="C77" s="134" t="s">
        <v>595</v>
      </c>
      <c r="D77" s="134" t="s">
        <v>39</v>
      </c>
      <c r="E77" s="134">
        <v>0.04</v>
      </c>
      <c r="F77" s="114">
        <v>61.22</v>
      </c>
      <c r="G77" s="114">
        <f t="shared" si="2"/>
        <v>2.4488</v>
      </c>
    </row>
    <row r="78" spans="1:7" ht="15">
      <c r="A78" s="85"/>
      <c r="B78" s="85"/>
      <c r="C78" s="85"/>
      <c r="D78" s="85"/>
      <c r="E78" s="85"/>
      <c r="F78" s="130" t="s">
        <v>580</v>
      </c>
      <c r="G78" s="128">
        <f>SUM(G72:G77)</f>
        <v>91.391328</v>
      </c>
    </row>
    <row r="82" spans="1:7" ht="22.5">
      <c r="A82" s="100" t="s">
        <v>413</v>
      </c>
      <c r="B82" s="90"/>
      <c r="C82" s="95" t="s">
        <v>414</v>
      </c>
      <c r="D82" s="90" t="s">
        <v>39</v>
      </c>
      <c r="E82" s="129" t="s">
        <v>557</v>
      </c>
      <c r="F82" s="108" t="s">
        <v>558</v>
      </c>
      <c r="G82" s="109" t="s">
        <v>559</v>
      </c>
    </row>
    <row r="83" spans="1:7" ht="15">
      <c r="A83" s="135" t="s">
        <v>512</v>
      </c>
      <c r="B83" s="135" t="s">
        <v>596</v>
      </c>
      <c r="C83" s="135" t="s">
        <v>597</v>
      </c>
      <c r="D83" s="135" t="s">
        <v>39</v>
      </c>
      <c r="E83" s="135">
        <v>0.5</v>
      </c>
      <c r="F83" s="136">
        <v>145</v>
      </c>
      <c r="G83" s="136">
        <f>E83*F83</f>
        <v>72.5</v>
      </c>
    </row>
    <row r="84" spans="1:7" ht="15">
      <c r="A84" s="135" t="s">
        <v>512</v>
      </c>
      <c r="B84" s="135" t="s">
        <v>596</v>
      </c>
      <c r="C84" s="135" t="s">
        <v>598</v>
      </c>
      <c r="D84" s="135" t="s">
        <v>39</v>
      </c>
      <c r="E84" s="135">
        <v>0.5</v>
      </c>
      <c r="F84" s="136">
        <v>145</v>
      </c>
      <c r="G84" s="136">
        <f>E84*F84</f>
        <v>72.5</v>
      </c>
    </row>
    <row r="85" spans="1:7" ht="15">
      <c r="A85" s="135" t="s">
        <v>541</v>
      </c>
      <c r="B85" s="135">
        <v>2701</v>
      </c>
      <c r="C85" s="135" t="s">
        <v>599</v>
      </c>
      <c r="D85" s="135" t="s">
        <v>432</v>
      </c>
      <c r="E85" s="135">
        <v>2</v>
      </c>
      <c r="F85" s="136">
        <v>19.15</v>
      </c>
      <c r="G85" s="136">
        <f>E85*F85</f>
        <v>38.3</v>
      </c>
    </row>
    <row r="86" spans="1:7" ht="15">
      <c r="A86" s="135" t="s">
        <v>541</v>
      </c>
      <c r="B86" s="135" t="s">
        <v>600</v>
      </c>
      <c r="C86" s="135" t="s">
        <v>601</v>
      </c>
      <c r="D86" s="135" t="s">
        <v>432</v>
      </c>
      <c r="E86" s="135">
        <v>1</v>
      </c>
      <c r="F86" s="136">
        <v>19.83</v>
      </c>
      <c r="G86" s="136">
        <f>E86*F86</f>
        <v>19.83</v>
      </c>
    </row>
    <row r="87" spans="5:7" ht="15">
      <c r="E87" s="137"/>
      <c r="F87" s="138"/>
      <c r="G87" s="139">
        <f>SUM(G83:G86)</f>
        <v>203.13</v>
      </c>
    </row>
    <row r="89" spans="1:7" ht="33.75">
      <c r="A89" s="100" t="s">
        <v>421</v>
      </c>
      <c r="B89" s="90"/>
      <c r="C89" s="95" t="s">
        <v>422</v>
      </c>
      <c r="D89" s="90" t="s">
        <v>39</v>
      </c>
      <c r="E89" s="129" t="s">
        <v>557</v>
      </c>
      <c r="F89" s="108" t="s">
        <v>558</v>
      </c>
      <c r="G89" s="109" t="s">
        <v>559</v>
      </c>
    </row>
    <row r="90" spans="1:7" ht="15">
      <c r="A90" s="118" t="s">
        <v>541</v>
      </c>
      <c r="B90" s="118">
        <v>88246</v>
      </c>
      <c r="C90" s="118" t="s">
        <v>602</v>
      </c>
      <c r="D90" s="118" t="s">
        <v>432</v>
      </c>
      <c r="E90" s="118">
        <v>0.126</v>
      </c>
      <c r="F90" s="119">
        <v>26.38</v>
      </c>
      <c r="G90" s="140">
        <f aca="true" t="shared" si="3" ref="G90:G95">E90*F90</f>
        <v>3.32388</v>
      </c>
    </row>
    <row r="91" spans="1:7" ht="15">
      <c r="A91" s="118" t="s">
        <v>541</v>
      </c>
      <c r="B91" s="118">
        <v>88316</v>
      </c>
      <c r="C91" s="118" t="s">
        <v>546</v>
      </c>
      <c r="D91" s="118" t="s">
        <v>432</v>
      </c>
      <c r="E91" s="118">
        <v>0.126</v>
      </c>
      <c r="F91" s="119">
        <v>18.84</v>
      </c>
      <c r="G91" s="140">
        <f t="shared" si="3"/>
        <v>2.37384</v>
      </c>
    </row>
    <row r="92" spans="1:7" ht="15">
      <c r="A92" s="118" t="s">
        <v>541</v>
      </c>
      <c r="B92" s="118">
        <v>90724</v>
      </c>
      <c r="C92" s="118" t="s">
        <v>603</v>
      </c>
      <c r="D92" s="118" t="s">
        <v>39</v>
      </c>
      <c r="E92" s="118">
        <v>0.1</v>
      </c>
      <c r="F92" s="119">
        <v>24.07</v>
      </c>
      <c r="G92" s="140">
        <f t="shared" si="3"/>
        <v>2.407</v>
      </c>
    </row>
    <row r="93" spans="1:7" ht="15">
      <c r="A93" s="118" t="s">
        <v>541</v>
      </c>
      <c r="B93" s="118">
        <v>93358</v>
      </c>
      <c r="C93" s="118" t="s">
        <v>604</v>
      </c>
      <c r="D93" s="118" t="s">
        <v>22</v>
      </c>
      <c r="E93" s="118">
        <v>0.4225</v>
      </c>
      <c r="F93" s="119">
        <v>74.53</v>
      </c>
      <c r="G93" s="140">
        <f t="shared" si="3"/>
        <v>31.488925</v>
      </c>
    </row>
    <row r="94" spans="1:7" ht="15">
      <c r="A94" s="118" t="s">
        <v>541</v>
      </c>
      <c r="B94" s="118">
        <v>93382</v>
      </c>
      <c r="C94" s="118" t="s">
        <v>605</v>
      </c>
      <c r="D94" s="118" t="s">
        <v>22</v>
      </c>
      <c r="E94" s="118">
        <v>0.3575</v>
      </c>
      <c r="F94" s="119">
        <v>30.12</v>
      </c>
      <c r="G94" s="140">
        <f t="shared" si="3"/>
        <v>10.7679</v>
      </c>
    </row>
    <row r="95" spans="1:7" ht="15">
      <c r="A95" s="118" t="s">
        <v>541</v>
      </c>
      <c r="B95" s="118">
        <v>101618</v>
      </c>
      <c r="C95" s="118" t="s">
        <v>606</v>
      </c>
      <c r="D95" s="118" t="s">
        <v>22</v>
      </c>
      <c r="E95" s="118">
        <v>0.065</v>
      </c>
      <c r="F95" s="119">
        <v>200.88</v>
      </c>
      <c r="G95" s="140">
        <f t="shared" si="3"/>
        <v>13.0572</v>
      </c>
    </row>
    <row r="96" ht="15">
      <c r="G96" s="141">
        <f>SUM(G90:G95)</f>
        <v>63.418744999999994</v>
      </c>
    </row>
    <row r="98" ht="16.5" thickBot="1">
      <c r="C98" s="79" t="s">
        <v>741</v>
      </c>
    </row>
    <row r="99" spans="1:7" ht="69" thickBot="1">
      <c r="A99" s="80" t="s">
        <v>747</v>
      </c>
      <c r="B99" s="81" t="s">
        <v>742</v>
      </c>
      <c r="C99" s="277" t="s">
        <v>743</v>
      </c>
      <c r="D99" s="100" t="s">
        <v>39</v>
      </c>
      <c r="E99" s="278" t="s">
        <v>510</v>
      </c>
      <c r="F99" s="278" t="s">
        <v>511</v>
      </c>
      <c r="G99" s="279">
        <f>SUM(G100:G101)</f>
        <v>1530.7004000000002</v>
      </c>
    </row>
    <row r="100" spans="1:7" ht="57">
      <c r="A100" s="90" t="s">
        <v>541</v>
      </c>
      <c r="B100" s="280">
        <v>90844</v>
      </c>
      <c r="C100" s="281" t="s">
        <v>744</v>
      </c>
      <c r="D100" s="90" t="s">
        <v>39</v>
      </c>
      <c r="E100" s="93">
        <v>1</v>
      </c>
      <c r="F100" s="282">
        <v>1184.9</v>
      </c>
      <c r="G100" s="94">
        <f>E100*F100</f>
        <v>1184.9</v>
      </c>
    </row>
    <row r="101" spans="1:7" ht="57">
      <c r="A101" s="86" t="s">
        <v>541</v>
      </c>
      <c r="B101" s="280" t="s">
        <v>745</v>
      </c>
      <c r="C101" s="283" t="s">
        <v>746</v>
      </c>
      <c r="D101" s="90" t="s">
        <v>17</v>
      </c>
      <c r="E101" s="284">
        <f>1.1*0.4</f>
        <v>0.44000000000000006</v>
      </c>
      <c r="F101" s="282">
        <v>785.91</v>
      </c>
      <c r="G101" s="94">
        <f>E101*F101</f>
        <v>345.8004</v>
      </c>
    </row>
    <row r="104" ht="15.75">
      <c r="C104" s="79" t="s">
        <v>741</v>
      </c>
    </row>
    <row r="105" ht="15.75">
      <c r="C105" s="79"/>
    </row>
    <row r="106" spans="1:7" ht="34.5">
      <c r="A106" s="100" t="s">
        <v>750</v>
      </c>
      <c r="B106" s="285"/>
      <c r="C106" s="286" t="s">
        <v>751</v>
      </c>
      <c r="D106" s="100" t="s">
        <v>39</v>
      </c>
      <c r="E106" s="102" t="s">
        <v>510</v>
      </c>
      <c r="F106" s="102" t="s">
        <v>511</v>
      </c>
      <c r="G106" s="287">
        <f>SUM(G107:G108)</f>
        <v>1872.6524000000002</v>
      </c>
    </row>
    <row r="107" spans="1:7" ht="83.25" customHeight="1">
      <c r="A107" s="90" t="s">
        <v>541</v>
      </c>
      <c r="B107" s="86" t="s">
        <v>748</v>
      </c>
      <c r="C107" s="283" t="s">
        <v>749</v>
      </c>
      <c r="D107" s="90" t="s">
        <v>39</v>
      </c>
      <c r="E107" s="88">
        <v>1</v>
      </c>
      <c r="F107" s="288">
        <v>1369.67</v>
      </c>
      <c r="G107" s="288">
        <f>+F107*E107</f>
        <v>1369.67</v>
      </c>
    </row>
    <row r="108" spans="1:7" ht="57">
      <c r="A108" s="90" t="s">
        <v>541</v>
      </c>
      <c r="B108" s="280" t="s">
        <v>745</v>
      </c>
      <c r="C108" s="283" t="s">
        <v>746</v>
      </c>
      <c r="D108" s="90" t="s">
        <v>39</v>
      </c>
      <c r="E108" s="284">
        <f>1.6*0.4</f>
        <v>0.6400000000000001</v>
      </c>
      <c r="F108" s="288">
        <v>785.91</v>
      </c>
      <c r="G108" s="288">
        <f>+F108*E108</f>
        <v>502.9824000000001</v>
      </c>
    </row>
  </sheetData>
  <conditionalFormatting sqref="A72:E77">
    <cfRule type="expression" priority="16" dxfId="30">
      <formula>AND($A72&lt;&gt;"COMPOSICAO",$A72&lt;&gt;"INSUMO",$A72&lt;&gt;"")</formula>
    </cfRule>
    <cfRule type="expression" priority="17" dxfId="28">
      <formula>AND(OR($A72="COMPOSICAO",$A72="INSUMO",$A72&lt;&gt;""),$A72&lt;&gt;"")</formula>
    </cfRule>
  </conditionalFormatting>
  <conditionalFormatting sqref="D36">
    <cfRule type="expression" priority="18" dxfId="28">
      <formula>AND($A31&lt;&gt;"COMPOSICAO",$A31&lt;&gt;"INSUMO",$A31&lt;&gt;"")</formula>
    </cfRule>
    <cfRule type="expression" priority="19" dxfId="28">
      <formula>AND(OR($A31="COMPOSICAO",$A31="INSUMO",$A31&lt;&gt;""),$A31&lt;&gt;"")</formula>
    </cfRule>
  </conditionalFormatting>
  <conditionalFormatting sqref="A56:E58 B55:E55 A62:E65 B61:E61">
    <cfRule type="expression" priority="20" dxfId="28">
      <formula>AND($A49&lt;&gt;"COMPOSICAO",$A49&lt;&gt;"INSUMO",$A49&lt;&gt;"")</formula>
    </cfRule>
    <cfRule type="expression" priority="21" dxfId="30">
      <formula>AND(OR($A49="COMPOSICAO",$A49="INSUMO",$A49&lt;&gt;""),$A49&lt;&gt;"")</formula>
    </cfRule>
  </conditionalFormatting>
  <conditionalFormatting sqref="B71:E71">
    <cfRule type="expression" priority="22" dxfId="28">
      <formula>AND($A71&lt;&gt;"COMPOSICAO",$A71&lt;&gt;"INSUMO",$A71&lt;&gt;"")</formula>
    </cfRule>
    <cfRule type="expression" priority="23" dxfId="28">
      <formula>AND(OR($A71="COMPOSICAO",$A71="INSUMO",$A71&lt;&gt;""),$A71&lt;&gt;"")</formula>
    </cfRule>
  </conditionalFormatting>
  <conditionalFormatting sqref="D32:D33 E32 D39:E39 D45:E45">
    <cfRule type="expression" priority="24" dxfId="28">
      <formula>AND(#REF!&lt;&gt;"COMPOSICAO",#REF!&lt;&gt;"INSUMO",#REF!&lt;&gt;"")</formula>
    </cfRule>
    <cfRule type="expression" priority="25" dxfId="28">
      <formula>AND(OR(#REF!="COMPOSICAO",#REF!="INSUMO",#REF!&lt;&gt;""),#REF!&lt;&gt;"")</formula>
    </cfRule>
  </conditionalFormatting>
  <conditionalFormatting sqref="B82:E82">
    <cfRule type="expression" priority="26" dxfId="31">
      <formula>AND($A82&lt;&gt;"COMPOSICAO",$A82&lt;&gt;"INSUMO",$A82&lt;&gt;"")</formula>
    </cfRule>
    <cfRule type="expression" priority="27" dxfId="30">
      <formula>AND(OR($A82="COMPOSICAO",$A82="INSUMO",$A82&lt;&gt;""),$A82&lt;&gt;"")</formula>
    </cfRule>
  </conditionalFormatting>
  <conditionalFormatting sqref="B89:E89">
    <cfRule type="expression" priority="28" dxfId="28">
      <formula>AND($A89&lt;&gt;"COMPOSICAO",$A89&lt;&gt;"INSUMO",$A89&lt;&gt;"")</formula>
    </cfRule>
    <cfRule type="expression" priority="29" dxfId="28">
      <formula>AND(OR($A89="COMPOSICAO",$A89="INSUMO",$A89&lt;&gt;""),$A89&lt;&gt;"")</formula>
    </cfRule>
  </conditionalFormatting>
  <conditionalFormatting sqref="A100:C101">
    <cfRule type="expression" priority="13" dxfId="1">
      <formula>AND($A100&lt;&gt;"COMPOSICAO",$A100&lt;&gt;"INSUMO",$A100&lt;&gt;"")</formula>
    </cfRule>
    <cfRule type="expression" priority="14" dxfId="0">
      <formula>AND(OR($A100="COMPOSICAO",$A100="INSUMO",$A100&lt;&gt;""),$A100&lt;&gt;"")</formula>
    </cfRule>
  </conditionalFormatting>
  <conditionalFormatting sqref="C101">
    <cfRule type="expression" priority="11" dxfId="1">
      <formula>AND($A101&lt;&gt;"COMPOSICAO",$A101&lt;&gt;"INSUMO",$A101&lt;&gt;"")</formula>
    </cfRule>
    <cfRule type="expression" priority="12" dxfId="0">
      <formula>AND(OR($A101="COMPOSICAO",$A101="INSUMO",$A101&lt;&gt;""),$A101&lt;&gt;"")</formula>
    </cfRule>
  </conditionalFormatting>
  <conditionalFormatting sqref="A107:E108">
    <cfRule type="expression" priority="9" dxfId="1">
      <formula>AND($A107&lt;&gt;"COMPOSICAO",$A107&lt;&gt;"INSUMO",$A107&lt;&gt;"")</formula>
    </cfRule>
    <cfRule type="expression" priority="10" dxfId="0">
      <formula>AND(OR($A107="COMPOSICAO",$A107="INSUMO",$A107&lt;&gt;""),$A107&lt;&gt;"")</formula>
    </cfRule>
  </conditionalFormatting>
  <conditionalFormatting sqref="A107">
    <cfRule type="expression" priority="7" dxfId="1">
      <formula>AND($A107&lt;&gt;"COMPOSICAO",$A107&lt;&gt;"INSUMO",$A107&lt;&gt;"")</formula>
    </cfRule>
    <cfRule type="expression" priority="8" dxfId="0">
      <formula>AND(OR($A107="COMPOSICAO",$A107="INSUMO",$A107&lt;&gt;""),$A107&lt;&gt;"")</formula>
    </cfRule>
  </conditionalFormatting>
  <conditionalFormatting sqref="B108:C108">
    <cfRule type="expression" priority="5" dxfId="1">
      <formula>AND($A108&lt;&gt;"COMPOSICAO",$A108&lt;&gt;"INSUMO",$A108&lt;&gt;"")</formula>
    </cfRule>
    <cfRule type="expression" priority="6" dxfId="0">
      <formula>AND(OR($A108="COMPOSICAO",$A108="INSUMO",$A108&lt;&gt;""),$A108&lt;&gt;"")</formula>
    </cfRule>
  </conditionalFormatting>
  <conditionalFormatting sqref="C108">
    <cfRule type="expression" priority="3" dxfId="1">
      <formula>AND($A108&lt;&gt;"COMPOSICAO",$A108&lt;&gt;"INSUMO",$A108&lt;&gt;"")</formula>
    </cfRule>
    <cfRule type="expression" priority="4" dxfId="0">
      <formula>AND(OR($A108="COMPOSICAO",$A108="INSUMO",$A108&lt;&gt;""),$A108&lt;&gt;"")</formula>
    </cfRule>
  </conditionalFormatting>
  <conditionalFormatting sqref="A108">
    <cfRule type="expression" priority="1" dxfId="1">
      <formula>AND($A108&lt;&gt;"COMPOSICAO",$A108&lt;&gt;"INSUMO",$A108&lt;&gt;"")</formula>
    </cfRule>
    <cfRule type="expression" priority="2" dxfId="0">
      <formula>AND(OR($A108="COMPOSICAO",$A108="INSUMO",$A108&lt;&gt;""),$A108&lt;&gt;"")</formula>
    </cfRule>
  </conditionalFormatting>
  <printOptions/>
  <pageMargins left="0.511805555555555" right="0.511805555555555" top="0.7875" bottom="0.7875" header="0.511805555555555" footer="0.51180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261"/>
  <sheetViews>
    <sheetView view="pageBreakPreview" zoomScale="65" zoomScaleSheetLayoutView="65" zoomScalePageLayoutView="65" workbookViewId="0" topLeftCell="A252">
      <selection activeCell="B256" sqref="B256"/>
    </sheetView>
  </sheetViews>
  <sheetFormatPr defaultColWidth="9.140625" defaultRowHeight="15"/>
  <cols>
    <col min="1" max="1" width="8.7109375" style="142" customWidth="1"/>
    <col min="2" max="2" width="14.28125" style="142" customWidth="1"/>
    <col min="3" max="3" width="31.140625" style="142" customWidth="1"/>
    <col min="4" max="8" width="8.7109375" style="142" customWidth="1"/>
    <col min="9" max="9" width="28.57421875" style="142" customWidth="1"/>
    <col min="10" max="1025" width="8.7109375" style="142" customWidth="1"/>
  </cols>
  <sheetData>
    <row r="1" ht="15">
      <c r="O1" s="143" t="e">
        <f>SUM(#REF!)</f>
        <v>#REF!</v>
      </c>
    </row>
    <row r="2" spans="1:14" ht="15" customHeight="1">
      <c r="A2" s="262" t="s">
        <v>607</v>
      </c>
      <c r="B2" s="262"/>
      <c r="C2" s="262"/>
      <c r="D2" s="262"/>
      <c r="E2" s="262"/>
      <c r="F2" s="262"/>
      <c r="G2" s="262"/>
      <c r="H2" s="262"/>
      <c r="I2" s="262"/>
      <c r="J2" s="262"/>
      <c r="K2" s="262"/>
      <c r="L2" s="262"/>
      <c r="M2" s="262"/>
      <c r="N2" s="262"/>
    </row>
    <row r="3" spans="1:14" ht="15">
      <c r="A3" s="144"/>
      <c r="B3" s="145" t="s">
        <v>608</v>
      </c>
      <c r="C3" s="146" t="s">
        <v>609</v>
      </c>
      <c r="D3" s="145" t="s">
        <v>39</v>
      </c>
      <c r="E3" s="145" t="s">
        <v>610</v>
      </c>
      <c r="F3" s="145" t="s">
        <v>611</v>
      </c>
      <c r="G3" s="146" t="s">
        <v>612</v>
      </c>
      <c r="H3" s="145" t="s">
        <v>608</v>
      </c>
      <c r="I3" s="146" t="s">
        <v>609</v>
      </c>
      <c r="J3" s="145" t="s">
        <v>39</v>
      </c>
      <c r="K3" s="145" t="s">
        <v>610</v>
      </c>
      <c r="L3" s="145" t="s">
        <v>613</v>
      </c>
      <c r="M3" s="145" t="s">
        <v>614</v>
      </c>
      <c r="N3" s="145" t="s">
        <v>615</v>
      </c>
    </row>
    <row r="4" spans="1:14" ht="63.75">
      <c r="A4" s="147"/>
      <c r="B4" s="148" t="s">
        <v>284</v>
      </c>
      <c r="C4" s="149" t="s">
        <v>285</v>
      </c>
      <c r="D4" s="150" t="s">
        <v>30</v>
      </c>
      <c r="E4" s="148" t="s">
        <v>616</v>
      </c>
      <c r="F4" s="143">
        <f aca="true" t="shared" si="0" ref="F4:F10">N$11</f>
        <v>95.06244415000002</v>
      </c>
      <c r="G4" s="151"/>
      <c r="H4" s="147"/>
      <c r="I4" s="151"/>
      <c r="J4" s="152"/>
      <c r="K4" s="147"/>
      <c r="L4" s="152"/>
      <c r="M4" s="152"/>
      <c r="N4" s="153"/>
    </row>
    <row r="5" spans="1:14" ht="63.75">
      <c r="A5" s="147"/>
      <c r="B5" s="148" t="s">
        <v>284</v>
      </c>
      <c r="C5" s="149" t="s">
        <v>285</v>
      </c>
      <c r="D5" s="150" t="s">
        <v>30</v>
      </c>
      <c r="E5" s="148" t="s">
        <v>616</v>
      </c>
      <c r="F5" s="143">
        <f t="shared" si="0"/>
        <v>95.06244415000002</v>
      </c>
      <c r="G5" s="148" t="s">
        <v>512</v>
      </c>
      <c r="H5" s="150" t="s">
        <v>617</v>
      </c>
      <c r="I5" s="148" t="s">
        <v>618</v>
      </c>
      <c r="J5" s="148" t="s">
        <v>30</v>
      </c>
      <c r="K5" s="148" t="s">
        <v>617</v>
      </c>
      <c r="L5" s="150">
        <v>0.936</v>
      </c>
      <c r="M5" s="143">
        <v>36.67</v>
      </c>
      <c r="N5" s="143">
        <f aca="true" t="shared" si="1" ref="N5:N10">L5*M5</f>
        <v>34.32312</v>
      </c>
    </row>
    <row r="6" spans="1:14" ht="89.25">
      <c r="A6" s="147"/>
      <c r="B6" s="148" t="s">
        <v>284</v>
      </c>
      <c r="C6" s="149" t="s">
        <v>285</v>
      </c>
      <c r="D6" s="150" t="s">
        <v>30</v>
      </c>
      <c r="E6" s="148" t="s">
        <v>616</v>
      </c>
      <c r="F6" s="143">
        <f t="shared" si="0"/>
        <v>95.06244415000002</v>
      </c>
      <c r="G6" s="148" t="s">
        <v>541</v>
      </c>
      <c r="H6" s="150" t="s">
        <v>619</v>
      </c>
      <c r="I6" s="148" t="s">
        <v>620</v>
      </c>
      <c r="J6" s="148" t="s">
        <v>39</v>
      </c>
      <c r="K6" s="148" t="s">
        <v>617</v>
      </c>
      <c r="L6" s="150">
        <v>0.333</v>
      </c>
      <c r="M6" s="143">
        <f>F13</f>
        <v>70.37755000000001</v>
      </c>
      <c r="N6" s="143">
        <f t="shared" si="1"/>
        <v>23.435724150000006</v>
      </c>
    </row>
    <row r="7" spans="1:14" ht="76.5">
      <c r="A7" s="147"/>
      <c r="B7" s="148" t="s">
        <v>284</v>
      </c>
      <c r="C7" s="149" t="s">
        <v>285</v>
      </c>
      <c r="D7" s="150" t="s">
        <v>30</v>
      </c>
      <c r="E7" s="148" t="s">
        <v>616</v>
      </c>
      <c r="F7" s="143">
        <f t="shared" si="0"/>
        <v>95.06244415000002</v>
      </c>
      <c r="G7" s="148" t="s">
        <v>512</v>
      </c>
      <c r="H7" s="150">
        <v>39029</v>
      </c>
      <c r="I7" s="148" t="s">
        <v>621</v>
      </c>
      <c r="J7" s="148" t="s">
        <v>30</v>
      </c>
      <c r="K7" s="148" t="s">
        <v>617</v>
      </c>
      <c r="L7" s="150">
        <v>1</v>
      </c>
      <c r="M7" s="143">
        <v>25.78</v>
      </c>
      <c r="N7" s="143">
        <f t="shared" si="1"/>
        <v>25.78</v>
      </c>
    </row>
    <row r="8" spans="1:14" ht="63.75">
      <c r="A8" s="147"/>
      <c r="B8" s="148" t="s">
        <v>284</v>
      </c>
      <c r="C8" s="149" t="s">
        <v>285</v>
      </c>
      <c r="D8" s="150" t="s">
        <v>30</v>
      </c>
      <c r="E8" s="148" t="s">
        <v>616</v>
      </c>
      <c r="F8" s="143">
        <f t="shared" si="0"/>
        <v>95.06244415000002</v>
      </c>
      <c r="G8" s="148" t="s">
        <v>512</v>
      </c>
      <c r="H8" s="150"/>
      <c r="I8" s="148" t="s">
        <v>622</v>
      </c>
      <c r="J8" s="148" t="s">
        <v>30</v>
      </c>
      <c r="K8" s="148" t="s">
        <v>617</v>
      </c>
      <c r="L8" s="150">
        <v>0</v>
      </c>
      <c r="M8" s="143">
        <v>0</v>
      </c>
      <c r="N8" s="143">
        <f t="shared" si="1"/>
        <v>0</v>
      </c>
    </row>
    <row r="9" spans="1:14" ht="63.75">
      <c r="A9" s="147"/>
      <c r="B9" s="148" t="s">
        <v>284</v>
      </c>
      <c r="C9" s="149" t="s">
        <v>285</v>
      </c>
      <c r="D9" s="150" t="s">
        <v>30</v>
      </c>
      <c r="E9" s="148" t="s">
        <v>616</v>
      </c>
      <c r="F9" s="143">
        <f t="shared" si="0"/>
        <v>95.06244415000002</v>
      </c>
      <c r="G9" s="148" t="s">
        <v>623</v>
      </c>
      <c r="H9" s="150">
        <v>88247</v>
      </c>
      <c r="I9" s="148" t="s">
        <v>624</v>
      </c>
      <c r="J9" s="148" t="s">
        <v>432</v>
      </c>
      <c r="K9" s="148" t="s">
        <v>625</v>
      </c>
      <c r="L9" s="150">
        <v>0.264</v>
      </c>
      <c r="M9" s="150">
        <v>20.42</v>
      </c>
      <c r="N9" s="143">
        <f t="shared" si="1"/>
        <v>5.390880000000001</v>
      </c>
    </row>
    <row r="10" spans="1:14" ht="63.75">
      <c r="A10" s="147"/>
      <c r="B10" s="148" t="s">
        <v>284</v>
      </c>
      <c r="C10" s="149" t="s">
        <v>285</v>
      </c>
      <c r="D10" s="150" t="s">
        <v>30</v>
      </c>
      <c r="E10" s="148" t="s">
        <v>616</v>
      </c>
      <c r="F10" s="143">
        <f t="shared" si="0"/>
        <v>95.06244415000002</v>
      </c>
      <c r="G10" s="148" t="s">
        <v>623</v>
      </c>
      <c r="H10" s="150">
        <v>88264</v>
      </c>
      <c r="I10" s="148" t="s">
        <v>574</v>
      </c>
      <c r="J10" s="148" t="s">
        <v>432</v>
      </c>
      <c r="K10" s="148" t="s">
        <v>625</v>
      </c>
      <c r="L10" s="150">
        <v>0.264</v>
      </c>
      <c r="M10" s="150">
        <v>23.23</v>
      </c>
      <c r="N10" s="143">
        <f t="shared" si="1"/>
        <v>6.132720000000001</v>
      </c>
    </row>
    <row r="11" spans="1:14" ht="15">
      <c r="A11" s="147"/>
      <c r="B11" s="147"/>
      <c r="C11" s="154"/>
      <c r="D11" s="147"/>
      <c r="E11" s="147"/>
      <c r="F11" s="147"/>
      <c r="G11" s="151"/>
      <c r="H11" s="147"/>
      <c r="I11" s="151"/>
      <c r="J11" s="152"/>
      <c r="K11" s="147"/>
      <c r="L11" s="152"/>
      <c r="M11" s="152"/>
      <c r="N11" s="143">
        <f>SUM(N5:N10)</f>
        <v>95.06244415000002</v>
      </c>
    </row>
    <row r="12" spans="1:14" ht="15">
      <c r="A12" s="147"/>
      <c r="B12" s="147"/>
      <c r="C12" s="154"/>
      <c r="D12" s="147"/>
      <c r="E12" s="147"/>
      <c r="F12" s="147"/>
      <c r="G12" s="151"/>
      <c r="H12" s="147"/>
      <c r="I12" s="151"/>
      <c r="J12" s="152"/>
      <c r="K12" s="147"/>
      <c r="L12" s="152"/>
      <c r="M12" s="152"/>
      <c r="N12" s="143"/>
    </row>
    <row r="13" spans="1:14" ht="63.75">
      <c r="A13" s="147"/>
      <c r="B13" s="148" t="s">
        <v>626</v>
      </c>
      <c r="C13" s="149" t="s">
        <v>627</v>
      </c>
      <c r="D13" s="150" t="s">
        <v>39</v>
      </c>
      <c r="E13" s="148" t="s">
        <v>616</v>
      </c>
      <c r="F13" s="143">
        <f aca="true" t="shared" si="2" ref="F13:F20">N$21</f>
        <v>70.37755000000001</v>
      </c>
      <c r="G13" s="151"/>
      <c r="H13" s="147"/>
      <c r="I13" s="151"/>
      <c r="J13" s="152"/>
      <c r="K13" s="147"/>
      <c r="L13" s="152"/>
      <c r="M13" s="152"/>
      <c r="N13" s="153"/>
    </row>
    <row r="14" spans="1:14" ht="76.5">
      <c r="A14" s="147"/>
      <c r="B14" s="148" t="s">
        <v>626</v>
      </c>
      <c r="C14" s="149" t="s">
        <v>627</v>
      </c>
      <c r="D14" s="150" t="s">
        <v>39</v>
      </c>
      <c r="E14" s="148" t="s">
        <v>616</v>
      </c>
      <c r="F14" s="143">
        <f t="shared" si="2"/>
        <v>70.37755000000001</v>
      </c>
      <c r="G14" s="148" t="s">
        <v>512</v>
      </c>
      <c r="H14" s="150" t="s">
        <v>617</v>
      </c>
      <c r="I14" s="148" t="s">
        <v>628</v>
      </c>
      <c r="J14" s="148" t="s">
        <v>39</v>
      </c>
      <c r="K14" s="148" t="s">
        <v>617</v>
      </c>
      <c r="L14" s="150">
        <v>1</v>
      </c>
      <c r="M14" s="143">
        <v>14.63</v>
      </c>
      <c r="N14" s="143">
        <f aca="true" t="shared" si="3" ref="N14:N20">L14*M14</f>
        <v>14.63</v>
      </c>
    </row>
    <row r="15" spans="1:14" ht="63.75">
      <c r="A15" s="147"/>
      <c r="B15" s="148" t="s">
        <v>626</v>
      </c>
      <c r="C15" s="149" t="s">
        <v>627</v>
      </c>
      <c r="D15" s="150" t="s">
        <v>39</v>
      </c>
      <c r="E15" s="148" t="s">
        <v>616</v>
      </c>
      <c r="F15" s="143">
        <f t="shared" si="2"/>
        <v>70.37755000000001</v>
      </c>
      <c r="G15" s="148" t="s">
        <v>512</v>
      </c>
      <c r="H15" s="150" t="s">
        <v>617</v>
      </c>
      <c r="I15" s="148" t="s">
        <v>629</v>
      </c>
      <c r="J15" s="148" t="s">
        <v>39</v>
      </c>
      <c r="K15" s="148" t="s">
        <v>617</v>
      </c>
      <c r="L15" s="150">
        <v>4</v>
      </c>
      <c r="M15" s="143">
        <v>1.76</v>
      </c>
      <c r="N15" s="143">
        <f t="shared" si="3"/>
        <v>7.04</v>
      </c>
    </row>
    <row r="16" spans="1:14" ht="63.75">
      <c r="A16" s="147"/>
      <c r="B16" s="148" t="s">
        <v>626</v>
      </c>
      <c r="C16" s="149" t="s">
        <v>627</v>
      </c>
      <c r="D16" s="150" t="s">
        <v>39</v>
      </c>
      <c r="E16" s="148" t="s">
        <v>616</v>
      </c>
      <c r="F16" s="143">
        <f t="shared" si="2"/>
        <v>70.37755000000001</v>
      </c>
      <c r="G16" s="148" t="s">
        <v>512</v>
      </c>
      <c r="H16" s="150"/>
      <c r="I16" s="148" t="s">
        <v>630</v>
      </c>
      <c r="J16" s="148" t="s">
        <v>39</v>
      </c>
      <c r="K16" s="148" t="s">
        <v>617</v>
      </c>
      <c r="L16" s="150">
        <v>16.8</v>
      </c>
      <c r="M16" s="143">
        <v>0.53</v>
      </c>
      <c r="N16" s="143">
        <f t="shared" si="3"/>
        <v>8.904000000000002</v>
      </c>
    </row>
    <row r="17" spans="1:14" ht="63.75">
      <c r="A17" s="147"/>
      <c r="B17" s="148" t="s">
        <v>626</v>
      </c>
      <c r="C17" s="149" t="s">
        <v>627</v>
      </c>
      <c r="D17" s="150" t="s">
        <v>39</v>
      </c>
      <c r="E17" s="148" t="s">
        <v>616</v>
      </c>
      <c r="F17" s="143">
        <f t="shared" si="2"/>
        <v>70.37755000000001</v>
      </c>
      <c r="G17" s="148" t="s">
        <v>512</v>
      </c>
      <c r="H17" s="150"/>
      <c r="I17" s="148" t="s">
        <v>631</v>
      </c>
      <c r="J17" s="148" t="s">
        <v>39</v>
      </c>
      <c r="K17" s="148" t="s">
        <v>617</v>
      </c>
      <c r="L17" s="150">
        <v>16.8</v>
      </c>
      <c r="M17" s="143">
        <v>0.8</v>
      </c>
      <c r="N17" s="143">
        <f t="shared" si="3"/>
        <v>13.440000000000001</v>
      </c>
    </row>
    <row r="18" spans="1:14" ht="63.75">
      <c r="A18" s="147"/>
      <c r="B18" s="148" t="s">
        <v>626</v>
      </c>
      <c r="C18" s="149" t="s">
        <v>627</v>
      </c>
      <c r="D18" s="150" t="s">
        <v>39</v>
      </c>
      <c r="E18" s="148" t="s">
        <v>616</v>
      </c>
      <c r="F18" s="143">
        <f t="shared" si="2"/>
        <v>70.37755000000001</v>
      </c>
      <c r="G18" s="148" t="s">
        <v>512</v>
      </c>
      <c r="H18" s="150"/>
      <c r="I18" s="148" t="s">
        <v>632</v>
      </c>
      <c r="J18" s="148" t="s">
        <v>39</v>
      </c>
      <c r="K18" s="148" t="s">
        <v>617</v>
      </c>
      <c r="L18" s="150">
        <v>16.8</v>
      </c>
      <c r="M18" s="143">
        <v>0.2</v>
      </c>
      <c r="N18" s="143">
        <f t="shared" si="3"/>
        <v>3.3600000000000003</v>
      </c>
    </row>
    <row r="19" spans="1:14" ht="63.75">
      <c r="A19" s="147"/>
      <c r="B19" s="148" t="s">
        <v>626</v>
      </c>
      <c r="C19" s="149" t="s">
        <v>627</v>
      </c>
      <c r="D19" s="150" t="s">
        <v>39</v>
      </c>
      <c r="E19" s="148" t="s">
        <v>616</v>
      </c>
      <c r="F19" s="143">
        <f t="shared" si="2"/>
        <v>70.37755000000001</v>
      </c>
      <c r="G19" s="148" t="s">
        <v>623</v>
      </c>
      <c r="H19" s="150">
        <v>88247</v>
      </c>
      <c r="I19" s="148" t="s">
        <v>624</v>
      </c>
      <c r="J19" s="148" t="s">
        <v>432</v>
      </c>
      <c r="K19" s="148" t="s">
        <v>625</v>
      </c>
      <c r="L19" s="150">
        <v>0.527</v>
      </c>
      <c r="M19" s="150">
        <v>20.42</v>
      </c>
      <c r="N19" s="143">
        <f t="shared" si="3"/>
        <v>10.76134</v>
      </c>
    </row>
    <row r="20" spans="1:14" ht="63.75">
      <c r="A20" s="147"/>
      <c r="B20" s="148" t="s">
        <v>626</v>
      </c>
      <c r="C20" s="149" t="s">
        <v>627</v>
      </c>
      <c r="D20" s="150" t="s">
        <v>39</v>
      </c>
      <c r="E20" s="148" t="s">
        <v>616</v>
      </c>
      <c r="F20" s="143">
        <f t="shared" si="2"/>
        <v>70.37755000000001</v>
      </c>
      <c r="G20" s="148" t="s">
        <v>623</v>
      </c>
      <c r="H20" s="150">
        <v>88264</v>
      </c>
      <c r="I20" s="148" t="s">
        <v>574</v>
      </c>
      <c r="J20" s="148" t="s">
        <v>432</v>
      </c>
      <c r="K20" s="148" t="s">
        <v>625</v>
      </c>
      <c r="L20" s="150">
        <v>0.527</v>
      </c>
      <c r="M20" s="150">
        <v>23.23</v>
      </c>
      <c r="N20" s="143">
        <f t="shared" si="3"/>
        <v>12.24221</v>
      </c>
    </row>
    <row r="21" spans="1:14" ht="15">
      <c r="A21" s="147"/>
      <c r="B21" s="147"/>
      <c r="C21" s="154"/>
      <c r="D21" s="147"/>
      <c r="E21" s="147"/>
      <c r="F21" s="147"/>
      <c r="G21" s="151"/>
      <c r="H21" s="147"/>
      <c r="I21" s="151"/>
      <c r="J21" s="152"/>
      <c r="K21" s="147"/>
      <c r="L21" s="152"/>
      <c r="M21" s="152"/>
      <c r="N21" s="143">
        <f>SUM(N14:N20)</f>
        <v>70.37755000000001</v>
      </c>
    </row>
    <row r="23" spans="2:14" ht="63.75">
      <c r="B23" s="148" t="s">
        <v>187</v>
      </c>
      <c r="C23" s="149" t="s">
        <v>188</v>
      </c>
      <c r="D23" s="150" t="s">
        <v>30</v>
      </c>
      <c r="E23" s="148" t="s">
        <v>616</v>
      </c>
      <c r="F23" s="143">
        <f aca="true" t="shared" si="4" ref="F23:F29">N$30</f>
        <v>123.59172415000002</v>
      </c>
      <c r="G23" s="151"/>
      <c r="H23" s="147"/>
      <c r="I23" s="151"/>
      <c r="J23" s="152"/>
      <c r="K23" s="147"/>
      <c r="L23" s="152"/>
      <c r="M23" s="152"/>
      <c r="N23" s="153"/>
    </row>
    <row r="24" spans="2:14" ht="63.75">
      <c r="B24" s="148" t="s">
        <v>187</v>
      </c>
      <c r="C24" s="149" t="s">
        <v>188</v>
      </c>
      <c r="D24" s="150" t="s">
        <v>30</v>
      </c>
      <c r="E24" s="148" t="s">
        <v>616</v>
      </c>
      <c r="F24" s="143">
        <f t="shared" si="4"/>
        <v>123.59172415000002</v>
      </c>
      <c r="G24" s="148" t="s">
        <v>512</v>
      </c>
      <c r="H24" s="150" t="s">
        <v>617</v>
      </c>
      <c r="I24" s="148" t="s">
        <v>633</v>
      </c>
      <c r="J24" s="148" t="s">
        <v>30</v>
      </c>
      <c r="K24" s="148" t="s">
        <v>617</v>
      </c>
      <c r="L24" s="150">
        <v>0.936</v>
      </c>
      <c r="M24" s="143">
        <v>67.15</v>
      </c>
      <c r="N24" s="143">
        <f aca="true" t="shared" si="5" ref="N24:N29">L24*M24</f>
        <v>62.85240000000001</v>
      </c>
    </row>
    <row r="25" spans="2:14" ht="89.25">
      <c r="B25" s="148" t="s">
        <v>187</v>
      </c>
      <c r="C25" s="149" t="s">
        <v>188</v>
      </c>
      <c r="D25" s="150" t="s">
        <v>30</v>
      </c>
      <c r="E25" s="148" t="s">
        <v>616</v>
      </c>
      <c r="F25" s="143">
        <f t="shared" si="4"/>
        <v>123.59172415000002</v>
      </c>
      <c r="G25" s="148" t="s">
        <v>541</v>
      </c>
      <c r="H25" s="150" t="s">
        <v>619</v>
      </c>
      <c r="I25" s="148" t="s">
        <v>620</v>
      </c>
      <c r="J25" s="148" t="s">
        <v>39</v>
      </c>
      <c r="K25" s="148" t="s">
        <v>617</v>
      </c>
      <c r="L25" s="150">
        <v>0.333</v>
      </c>
      <c r="M25" s="143">
        <f>F32</f>
        <v>70.37755000000001</v>
      </c>
      <c r="N25" s="143">
        <f t="shared" si="5"/>
        <v>23.435724150000006</v>
      </c>
    </row>
    <row r="26" spans="2:14" ht="76.5">
      <c r="B26" s="148" t="s">
        <v>187</v>
      </c>
      <c r="C26" s="149" t="s">
        <v>188</v>
      </c>
      <c r="D26" s="150" t="s">
        <v>30</v>
      </c>
      <c r="E26" s="148" t="s">
        <v>616</v>
      </c>
      <c r="F26" s="143">
        <f t="shared" si="4"/>
        <v>123.59172415000002</v>
      </c>
      <c r="G26" s="148" t="s">
        <v>512</v>
      </c>
      <c r="H26" s="150">
        <v>39029</v>
      </c>
      <c r="I26" s="148" t="s">
        <v>634</v>
      </c>
      <c r="J26" s="148" t="s">
        <v>30</v>
      </c>
      <c r="K26" s="148" t="s">
        <v>617</v>
      </c>
      <c r="L26" s="150">
        <v>1</v>
      </c>
      <c r="M26" s="143">
        <v>25.78</v>
      </c>
      <c r="N26" s="143">
        <f t="shared" si="5"/>
        <v>25.78</v>
      </c>
    </row>
    <row r="27" spans="2:14" ht="63.75">
      <c r="B27" s="148" t="s">
        <v>187</v>
      </c>
      <c r="C27" s="149" t="s">
        <v>188</v>
      </c>
      <c r="D27" s="150" t="s">
        <v>30</v>
      </c>
      <c r="E27" s="148" t="s">
        <v>616</v>
      </c>
      <c r="F27" s="143">
        <f t="shared" si="4"/>
        <v>123.59172415000002</v>
      </c>
      <c r="G27" s="148" t="s">
        <v>512</v>
      </c>
      <c r="H27" s="150"/>
      <c r="I27" s="148" t="s">
        <v>622</v>
      </c>
      <c r="J27" s="148" t="s">
        <v>30</v>
      </c>
      <c r="K27" s="148" t="s">
        <v>617</v>
      </c>
      <c r="L27" s="150">
        <v>0</v>
      </c>
      <c r="M27" s="143">
        <v>0</v>
      </c>
      <c r="N27" s="143">
        <f t="shared" si="5"/>
        <v>0</v>
      </c>
    </row>
    <row r="28" spans="2:14" ht="63.75">
      <c r="B28" s="148" t="s">
        <v>187</v>
      </c>
      <c r="C28" s="149" t="s">
        <v>188</v>
      </c>
      <c r="D28" s="150" t="s">
        <v>30</v>
      </c>
      <c r="E28" s="148" t="s">
        <v>616</v>
      </c>
      <c r="F28" s="143">
        <f t="shared" si="4"/>
        <v>123.59172415000002</v>
      </c>
      <c r="G28" s="148" t="s">
        <v>623</v>
      </c>
      <c r="H28" s="150">
        <v>88247</v>
      </c>
      <c r="I28" s="148" t="s">
        <v>624</v>
      </c>
      <c r="J28" s="148" t="s">
        <v>432</v>
      </c>
      <c r="K28" s="148" t="s">
        <v>625</v>
      </c>
      <c r="L28" s="150">
        <v>0.264</v>
      </c>
      <c r="M28" s="150">
        <v>20.42</v>
      </c>
      <c r="N28" s="143">
        <f t="shared" si="5"/>
        <v>5.390880000000001</v>
      </c>
    </row>
    <row r="29" spans="2:14" ht="63.75">
      <c r="B29" s="148" t="s">
        <v>187</v>
      </c>
      <c r="C29" s="149" t="s">
        <v>188</v>
      </c>
      <c r="D29" s="150" t="s">
        <v>30</v>
      </c>
      <c r="E29" s="148" t="s">
        <v>616</v>
      </c>
      <c r="F29" s="143">
        <f t="shared" si="4"/>
        <v>123.59172415000002</v>
      </c>
      <c r="G29" s="148" t="s">
        <v>623</v>
      </c>
      <c r="H29" s="150">
        <v>88264</v>
      </c>
      <c r="I29" s="148" t="s">
        <v>574</v>
      </c>
      <c r="J29" s="148" t="s">
        <v>432</v>
      </c>
      <c r="K29" s="148" t="s">
        <v>625</v>
      </c>
      <c r="L29" s="150">
        <v>0.264</v>
      </c>
      <c r="M29" s="150">
        <v>23.23</v>
      </c>
      <c r="N29" s="143">
        <f t="shared" si="5"/>
        <v>6.132720000000001</v>
      </c>
    </row>
    <row r="30" spans="2:14" ht="15">
      <c r="B30" s="147"/>
      <c r="C30" s="154"/>
      <c r="D30" s="147"/>
      <c r="E30" s="147"/>
      <c r="F30" s="147"/>
      <c r="G30" s="151"/>
      <c r="H30" s="147"/>
      <c r="I30" s="151"/>
      <c r="J30" s="152"/>
      <c r="K30" s="147"/>
      <c r="L30" s="152"/>
      <c r="M30" s="152"/>
      <c r="N30" s="143">
        <f>SUM(N24:N29)</f>
        <v>123.59172415000002</v>
      </c>
    </row>
    <row r="31" spans="2:14" ht="15">
      <c r="B31" s="147"/>
      <c r="C31" s="154"/>
      <c r="D31" s="147"/>
      <c r="E31" s="147"/>
      <c r="F31" s="147"/>
      <c r="G31" s="151"/>
      <c r="H31" s="147"/>
      <c r="I31" s="151"/>
      <c r="J31" s="152"/>
      <c r="K31" s="147"/>
      <c r="L31" s="152"/>
      <c r="M31" s="152"/>
      <c r="N31" s="143"/>
    </row>
    <row r="32" spans="2:14" ht="63.75">
      <c r="B32" s="148" t="s">
        <v>626</v>
      </c>
      <c r="C32" s="149" t="s">
        <v>635</v>
      </c>
      <c r="D32" s="150" t="s">
        <v>39</v>
      </c>
      <c r="E32" s="148" t="s">
        <v>616</v>
      </c>
      <c r="F32" s="143">
        <f aca="true" t="shared" si="6" ref="F32:F39">N$40</f>
        <v>70.37755000000001</v>
      </c>
      <c r="G32" s="151"/>
      <c r="H32" s="147"/>
      <c r="I32" s="151"/>
      <c r="J32" s="152"/>
      <c r="K32" s="147"/>
      <c r="L32" s="152"/>
      <c r="M32" s="152"/>
      <c r="N32" s="153"/>
    </row>
    <row r="33" spans="2:14" ht="76.5">
      <c r="B33" s="148" t="s">
        <v>626</v>
      </c>
      <c r="C33" s="149" t="s">
        <v>635</v>
      </c>
      <c r="D33" s="150" t="s">
        <v>39</v>
      </c>
      <c r="E33" s="148" t="s">
        <v>616</v>
      </c>
      <c r="F33" s="143">
        <f t="shared" si="6"/>
        <v>70.37755000000001</v>
      </c>
      <c r="G33" s="148" t="s">
        <v>512</v>
      </c>
      <c r="H33" s="150" t="s">
        <v>617</v>
      </c>
      <c r="I33" s="149" t="s">
        <v>635</v>
      </c>
      <c r="J33" s="148" t="s">
        <v>39</v>
      </c>
      <c r="K33" s="148" t="s">
        <v>617</v>
      </c>
      <c r="L33" s="150">
        <v>1</v>
      </c>
      <c r="M33" s="143">
        <v>14.63</v>
      </c>
      <c r="N33" s="143">
        <f aca="true" t="shared" si="7" ref="N33:N39">L33*M33</f>
        <v>14.63</v>
      </c>
    </row>
    <row r="34" spans="2:14" ht="63.75">
      <c r="B34" s="148" t="s">
        <v>626</v>
      </c>
      <c r="C34" s="149" t="s">
        <v>635</v>
      </c>
      <c r="D34" s="150" t="s">
        <v>39</v>
      </c>
      <c r="E34" s="148" t="s">
        <v>616</v>
      </c>
      <c r="F34" s="143">
        <f t="shared" si="6"/>
        <v>70.37755000000001</v>
      </c>
      <c r="G34" s="148" t="s">
        <v>512</v>
      </c>
      <c r="H34" s="150" t="s">
        <v>617</v>
      </c>
      <c r="I34" s="148" t="s">
        <v>636</v>
      </c>
      <c r="J34" s="148" t="s">
        <v>39</v>
      </c>
      <c r="K34" s="148" t="s">
        <v>617</v>
      </c>
      <c r="L34" s="150">
        <v>4</v>
      </c>
      <c r="M34" s="143">
        <v>1.76</v>
      </c>
      <c r="N34" s="143">
        <f t="shared" si="7"/>
        <v>7.04</v>
      </c>
    </row>
    <row r="35" spans="2:14" ht="63.75">
      <c r="B35" s="148" t="s">
        <v>626</v>
      </c>
      <c r="C35" s="149" t="s">
        <v>635</v>
      </c>
      <c r="D35" s="150" t="s">
        <v>39</v>
      </c>
      <c r="E35" s="148" t="s">
        <v>616</v>
      </c>
      <c r="F35" s="143">
        <f t="shared" si="6"/>
        <v>70.37755000000001</v>
      </c>
      <c r="G35" s="148" t="s">
        <v>512</v>
      </c>
      <c r="H35" s="150"/>
      <c r="I35" s="148" t="s">
        <v>630</v>
      </c>
      <c r="J35" s="148" t="s">
        <v>39</v>
      </c>
      <c r="K35" s="148" t="s">
        <v>617</v>
      </c>
      <c r="L35" s="150">
        <v>16.8</v>
      </c>
      <c r="M35" s="143">
        <v>0.53</v>
      </c>
      <c r="N35" s="143">
        <f t="shared" si="7"/>
        <v>8.904000000000002</v>
      </c>
    </row>
    <row r="36" spans="2:14" ht="63.75">
      <c r="B36" s="148" t="s">
        <v>626</v>
      </c>
      <c r="C36" s="149" t="s">
        <v>635</v>
      </c>
      <c r="D36" s="150" t="s">
        <v>39</v>
      </c>
      <c r="E36" s="148" t="s">
        <v>616</v>
      </c>
      <c r="F36" s="143">
        <f t="shared" si="6"/>
        <v>70.37755000000001</v>
      </c>
      <c r="G36" s="148" t="s">
        <v>512</v>
      </c>
      <c r="H36" s="150"/>
      <c r="I36" s="148" t="s">
        <v>631</v>
      </c>
      <c r="J36" s="148" t="s">
        <v>39</v>
      </c>
      <c r="K36" s="148" t="s">
        <v>617</v>
      </c>
      <c r="L36" s="150">
        <v>16.8</v>
      </c>
      <c r="M36" s="143">
        <v>0.8</v>
      </c>
      <c r="N36" s="143">
        <f t="shared" si="7"/>
        <v>13.440000000000001</v>
      </c>
    </row>
    <row r="37" spans="2:14" ht="63.75">
      <c r="B37" s="148" t="s">
        <v>626</v>
      </c>
      <c r="C37" s="149" t="s">
        <v>635</v>
      </c>
      <c r="D37" s="150" t="s">
        <v>39</v>
      </c>
      <c r="E37" s="148" t="s">
        <v>616</v>
      </c>
      <c r="F37" s="143">
        <f t="shared" si="6"/>
        <v>70.37755000000001</v>
      </c>
      <c r="G37" s="148" t="s">
        <v>512</v>
      </c>
      <c r="H37" s="150"/>
      <c r="I37" s="148" t="s">
        <v>632</v>
      </c>
      <c r="J37" s="148" t="s">
        <v>39</v>
      </c>
      <c r="K37" s="148" t="s">
        <v>617</v>
      </c>
      <c r="L37" s="150">
        <v>16.8</v>
      </c>
      <c r="M37" s="143">
        <v>0.2</v>
      </c>
      <c r="N37" s="143">
        <f t="shared" si="7"/>
        <v>3.3600000000000003</v>
      </c>
    </row>
    <row r="38" spans="2:14" ht="63.75">
      <c r="B38" s="148" t="s">
        <v>626</v>
      </c>
      <c r="C38" s="149" t="s">
        <v>635</v>
      </c>
      <c r="D38" s="150" t="s">
        <v>39</v>
      </c>
      <c r="E38" s="148" t="s">
        <v>616</v>
      </c>
      <c r="F38" s="143">
        <f t="shared" si="6"/>
        <v>70.37755000000001</v>
      </c>
      <c r="G38" s="148" t="s">
        <v>623</v>
      </c>
      <c r="H38" s="150">
        <v>88247</v>
      </c>
      <c r="I38" s="148" t="s">
        <v>624</v>
      </c>
      <c r="J38" s="148" t="s">
        <v>432</v>
      </c>
      <c r="K38" s="148" t="s">
        <v>625</v>
      </c>
      <c r="L38" s="150">
        <v>0.527</v>
      </c>
      <c r="M38" s="150">
        <v>20.42</v>
      </c>
      <c r="N38" s="143">
        <f t="shared" si="7"/>
        <v>10.76134</v>
      </c>
    </row>
    <row r="39" spans="2:14" ht="63.75">
      <c r="B39" s="148" t="s">
        <v>626</v>
      </c>
      <c r="C39" s="149" t="s">
        <v>635</v>
      </c>
      <c r="D39" s="150" t="s">
        <v>39</v>
      </c>
      <c r="E39" s="148" t="s">
        <v>616</v>
      </c>
      <c r="F39" s="143">
        <f t="shared" si="6"/>
        <v>70.37755000000001</v>
      </c>
      <c r="G39" s="148" t="s">
        <v>623</v>
      </c>
      <c r="H39" s="150">
        <v>88264</v>
      </c>
      <c r="I39" s="148" t="s">
        <v>574</v>
      </c>
      <c r="J39" s="148" t="s">
        <v>432</v>
      </c>
      <c r="K39" s="148" t="s">
        <v>625</v>
      </c>
      <c r="L39" s="150">
        <v>0.527</v>
      </c>
      <c r="M39" s="150">
        <v>23.23</v>
      </c>
      <c r="N39" s="143">
        <f t="shared" si="7"/>
        <v>12.24221</v>
      </c>
    </row>
    <row r="40" spans="2:14" ht="15">
      <c r="B40" s="147"/>
      <c r="C40" s="154"/>
      <c r="D40" s="147"/>
      <c r="E40" s="147"/>
      <c r="F40" s="147"/>
      <c r="G40" s="151"/>
      <c r="H40" s="147"/>
      <c r="I40" s="151"/>
      <c r="J40" s="152"/>
      <c r="K40" s="147"/>
      <c r="L40" s="152"/>
      <c r="M40" s="152"/>
      <c r="N40" s="143">
        <f>SUM(N33:N39)</f>
        <v>70.37755000000001</v>
      </c>
    </row>
    <row r="42" spans="1:14" ht="63.75">
      <c r="A42" s="147"/>
      <c r="B42" s="148" t="s">
        <v>211</v>
      </c>
      <c r="C42" s="155" t="s">
        <v>212</v>
      </c>
      <c r="D42" s="150" t="s">
        <v>39</v>
      </c>
      <c r="E42" s="148" t="s">
        <v>616</v>
      </c>
      <c r="F42" s="143">
        <f aca="true" t="shared" si="8" ref="F42:F48">N$49</f>
        <v>14.351499999999998</v>
      </c>
      <c r="G42" s="151"/>
      <c r="H42" s="147"/>
      <c r="I42" s="151"/>
      <c r="J42" s="152"/>
      <c r="K42" s="147"/>
      <c r="L42" s="152"/>
      <c r="M42" s="152"/>
      <c r="N42" s="153"/>
    </row>
    <row r="43" spans="1:14" ht="63.75">
      <c r="A43" s="147"/>
      <c r="B43" s="148" t="s">
        <v>211</v>
      </c>
      <c r="C43" s="155" t="s">
        <v>212</v>
      </c>
      <c r="D43" s="150" t="s">
        <v>39</v>
      </c>
      <c r="E43" s="148" t="s">
        <v>616</v>
      </c>
      <c r="F43" s="143">
        <f t="shared" si="8"/>
        <v>14.351499999999998</v>
      </c>
      <c r="G43" s="148" t="s">
        <v>512</v>
      </c>
      <c r="H43" s="150" t="s">
        <v>617</v>
      </c>
      <c r="I43" s="155" t="s">
        <v>212</v>
      </c>
      <c r="J43" s="148" t="s">
        <v>39</v>
      </c>
      <c r="K43" s="148" t="s">
        <v>617</v>
      </c>
      <c r="L43" s="150">
        <v>1</v>
      </c>
      <c r="M43" s="143">
        <v>4.89</v>
      </c>
      <c r="N43" s="143">
        <f aca="true" t="shared" si="9" ref="N43:N48">L43*M43</f>
        <v>4.89</v>
      </c>
    </row>
    <row r="44" spans="1:14" ht="63.75">
      <c r="A44" s="147"/>
      <c r="B44" s="148" t="s">
        <v>211</v>
      </c>
      <c r="C44" s="155" t="s">
        <v>212</v>
      </c>
      <c r="D44" s="150" t="s">
        <v>39</v>
      </c>
      <c r="E44" s="148" t="s">
        <v>616</v>
      </c>
      <c r="F44" s="143">
        <f t="shared" si="8"/>
        <v>14.351499999999998</v>
      </c>
      <c r="G44" s="148" t="s">
        <v>512</v>
      </c>
      <c r="H44" s="150"/>
      <c r="I44" s="148" t="s">
        <v>630</v>
      </c>
      <c r="J44" s="148" t="s">
        <v>39</v>
      </c>
      <c r="K44" s="148" t="s">
        <v>617</v>
      </c>
      <c r="L44" s="150">
        <v>2</v>
      </c>
      <c r="M44" s="143">
        <v>0.53</v>
      </c>
      <c r="N44" s="143">
        <f t="shared" si="9"/>
        <v>1.06</v>
      </c>
    </row>
    <row r="45" spans="1:14" ht="63.75">
      <c r="A45" s="147"/>
      <c r="B45" s="148" t="s">
        <v>211</v>
      </c>
      <c r="C45" s="155" t="s">
        <v>212</v>
      </c>
      <c r="D45" s="150" t="s">
        <v>39</v>
      </c>
      <c r="E45" s="148" t="s">
        <v>616</v>
      </c>
      <c r="F45" s="143">
        <f t="shared" si="8"/>
        <v>14.351499999999998</v>
      </c>
      <c r="G45" s="148" t="s">
        <v>512</v>
      </c>
      <c r="H45" s="150"/>
      <c r="I45" s="148" t="s">
        <v>631</v>
      </c>
      <c r="J45" s="148" t="s">
        <v>39</v>
      </c>
      <c r="K45" s="148" t="s">
        <v>617</v>
      </c>
      <c r="L45" s="150">
        <v>4</v>
      </c>
      <c r="M45" s="143">
        <v>0.8</v>
      </c>
      <c r="N45" s="143">
        <f t="shared" si="9"/>
        <v>3.2</v>
      </c>
    </row>
    <row r="46" spans="1:14" ht="63.75">
      <c r="A46" s="147"/>
      <c r="B46" s="148" t="s">
        <v>211</v>
      </c>
      <c r="C46" s="155" t="s">
        <v>212</v>
      </c>
      <c r="D46" s="150" t="s">
        <v>39</v>
      </c>
      <c r="E46" s="148" t="s">
        <v>616</v>
      </c>
      <c r="F46" s="143">
        <f t="shared" si="8"/>
        <v>14.351499999999998</v>
      </c>
      <c r="G46" s="148" t="s">
        <v>512</v>
      </c>
      <c r="H46" s="150"/>
      <c r="I46" s="148" t="s">
        <v>632</v>
      </c>
      <c r="J46" s="148" t="s">
        <v>39</v>
      </c>
      <c r="K46" s="148" t="s">
        <v>617</v>
      </c>
      <c r="L46" s="150">
        <v>2</v>
      </c>
      <c r="M46" s="143">
        <v>0.2</v>
      </c>
      <c r="N46" s="143">
        <f t="shared" si="9"/>
        <v>0.4</v>
      </c>
    </row>
    <row r="47" spans="1:14" ht="63.75">
      <c r="A47" s="147"/>
      <c r="B47" s="148" t="s">
        <v>211</v>
      </c>
      <c r="C47" s="155" t="s">
        <v>212</v>
      </c>
      <c r="D47" s="150" t="s">
        <v>39</v>
      </c>
      <c r="E47" s="148" t="s">
        <v>616</v>
      </c>
      <c r="F47" s="143">
        <f t="shared" si="8"/>
        <v>14.351499999999998</v>
      </c>
      <c r="G47" s="148" t="s">
        <v>623</v>
      </c>
      <c r="H47" s="150">
        <v>88247</v>
      </c>
      <c r="I47" s="148" t="s">
        <v>624</v>
      </c>
      <c r="J47" s="148" t="s">
        <v>432</v>
      </c>
      <c r="K47" s="148" t="s">
        <v>625</v>
      </c>
      <c r="L47" s="150">
        <v>0.11</v>
      </c>
      <c r="M47" s="150">
        <v>20.42</v>
      </c>
      <c r="N47" s="143">
        <f t="shared" si="9"/>
        <v>2.2462000000000004</v>
      </c>
    </row>
    <row r="48" spans="1:14" ht="63.75">
      <c r="A48" s="147"/>
      <c r="B48" s="148" t="s">
        <v>211</v>
      </c>
      <c r="C48" s="155" t="s">
        <v>212</v>
      </c>
      <c r="D48" s="150" t="s">
        <v>39</v>
      </c>
      <c r="E48" s="148" t="s">
        <v>616</v>
      </c>
      <c r="F48" s="143">
        <f t="shared" si="8"/>
        <v>14.351499999999998</v>
      </c>
      <c r="G48" s="148" t="s">
        <v>623</v>
      </c>
      <c r="H48" s="150">
        <v>88264</v>
      </c>
      <c r="I48" s="148" t="s">
        <v>574</v>
      </c>
      <c r="J48" s="148" t="s">
        <v>432</v>
      </c>
      <c r="K48" s="148" t="s">
        <v>625</v>
      </c>
      <c r="L48" s="150">
        <v>0.11</v>
      </c>
      <c r="M48" s="150">
        <v>23.23</v>
      </c>
      <c r="N48" s="143">
        <f t="shared" si="9"/>
        <v>2.5553</v>
      </c>
    </row>
    <row r="49" spans="1:14" ht="15">
      <c r="A49" s="147"/>
      <c r="B49" s="147"/>
      <c r="C49" s="154"/>
      <c r="D49" s="147"/>
      <c r="E49" s="147"/>
      <c r="F49" s="147"/>
      <c r="G49" s="151"/>
      <c r="H49" s="147"/>
      <c r="I49" s="151"/>
      <c r="J49" s="152"/>
      <c r="K49" s="147"/>
      <c r="L49" s="152"/>
      <c r="M49" s="152"/>
      <c r="N49" s="143">
        <f>SUM(N43:N48)</f>
        <v>14.351499999999998</v>
      </c>
    </row>
    <row r="51" spans="2:14" ht="63.75">
      <c r="B51" s="148" t="s">
        <v>214</v>
      </c>
      <c r="C51" s="155" t="s">
        <v>215</v>
      </c>
      <c r="D51" s="150" t="s">
        <v>39</v>
      </c>
      <c r="E51" s="148" t="s">
        <v>616</v>
      </c>
      <c r="F51" s="143">
        <f aca="true" t="shared" si="10" ref="F51:F57">N$49</f>
        <v>14.351499999999998</v>
      </c>
      <c r="G51" s="151"/>
      <c r="H51" s="147"/>
      <c r="I51" s="151"/>
      <c r="J51" s="152"/>
      <c r="K51" s="147"/>
      <c r="L51" s="152"/>
      <c r="M51" s="152"/>
      <c r="N51" s="153"/>
    </row>
    <row r="52" spans="2:14" ht="63.75">
      <c r="B52" s="148" t="s">
        <v>214</v>
      </c>
      <c r="C52" s="155" t="s">
        <v>215</v>
      </c>
      <c r="D52" s="150" t="s">
        <v>39</v>
      </c>
      <c r="E52" s="148" t="s">
        <v>616</v>
      </c>
      <c r="F52" s="143">
        <f t="shared" si="10"/>
        <v>14.351499999999998</v>
      </c>
      <c r="G52" s="148" t="s">
        <v>512</v>
      </c>
      <c r="H52" s="150" t="s">
        <v>617</v>
      </c>
      <c r="I52" s="155" t="s">
        <v>637</v>
      </c>
      <c r="J52" s="148" t="s">
        <v>39</v>
      </c>
      <c r="K52" s="148" t="s">
        <v>617</v>
      </c>
      <c r="L52" s="150">
        <v>1</v>
      </c>
      <c r="M52" s="143">
        <v>4.64</v>
      </c>
      <c r="N52" s="143">
        <f aca="true" t="shared" si="11" ref="N52:N57">L52*M52</f>
        <v>4.64</v>
      </c>
    </row>
    <row r="53" spans="2:14" ht="63.75">
      <c r="B53" s="148" t="s">
        <v>214</v>
      </c>
      <c r="C53" s="155" t="s">
        <v>215</v>
      </c>
      <c r="D53" s="150" t="s">
        <v>39</v>
      </c>
      <c r="E53" s="148" t="s">
        <v>616</v>
      </c>
      <c r="F53" s="143">
        <f t="shared" si="10"/>
        <v>14.351499999999998</v>
      </c>
      <c r="G53" s="148" t="s">
        <v>512</v>
      </c>
      <c r="H53" s="150"/>
      <c r="I53" s="148" t="s">
        <v>630</v>
      </c>
      <c r="J53" s="148" t="s">
        <v>39</v>
      </c>
      <c r="K53" s="148" t="s">
        <v>617</v>
      </c>
      <c r="L53" s="150">
        <v>2</v>
      </c>
      <c r="M53" s="143">
        <v>0.53</v>
      </c>
      <c r="N53" s="143">
        <f t="shared" si="11"/>
        <v>1.06</v>
      </c>
    </row>
    <row r="54" spans="2:14" ht="63.75">
      <c r="B54" s="148" t="s">
        <v>214</v>
      </c>
      <c r="C54" s="155" t="s">
        <v>215</v>
      </c>
      <c r="D54" s="150" t="s">
        <v>39</v>
      </c>
      <c r="E54" s="148" t="s">
        <v>616</v>
      </c>
      <c r="F54" s="143">
        <f t="shared" si="10"/>
        <v>14.351499999999998</v>
      </c>
      <c r="G54" s="148" t="s">
        <v>512</v>
      </c>
      <c r="H54" s="150"/>
      <c r="I54" s="148" t="s">
        <v>631</v>
      </c>
      <c r="J54" s="148" t="s">
        <v>39</v>
      </c>
      <c r="K54" s="148" t="s">
        <v>617</v>
      </c>
      <c r="L54" s="150">
        <v>4</v>
      </c>
      <c r="M54" s="143">
        <v>0.8</v>
      </c>
      <c r="N54" s="143">
        <f t="shared" si="11"/>
        <v>3.2</v>
      </c>
    </row>
    <row r="55" spans="2:14" ht="63.75">
      <c r="B55" s="148" t="s">
        <v>214</v>
      </c>
      <c r="C55" s="155" t="s">
        <v>215</v>
      </c>
      <c r="D55" s="150" t="s">
        <v>39</v>
      </c>
      <c r="E55" s="148" t="s">
        <v>616</v>
      </c>
      <c r="F55" s="143">
        <f t="shared" si="10"/>
        <v>14.351499999999998</v>
      </c>
      <c r="G55" s="148" t="s">
        <v>512</v>
      </c>
      <c r="H55" s="150"/>
      <c r="I55" s="148" t="s">
        <v>632</v>
      </c>
      <c r="J55" s="148" t="s">
        <v>39</v>
      </c>
      <c r="K55" s="148" t="s">
        <v>617</v>
      </c>
      <c r="L55" s="150">
        <v>2</v>
      </c>
      <c r="M55" s="143">
        <v>0.2</v>
      </c>
      <c r="N55" s="143">
        <f t="shared" si="11"/>
        <v>0.4</v>
      </c>
    </row>
    <row r="56" spans="2:14" ht="63.75">
      <c r="B56" s="148" t="s">
        <v>214</v>
      </c>
      <c r="C56" s="155" t="s">
        <v>215</v>
      </c>
      <c r="D56" s="150" t="s">
        <v>39</v>
      </c>
      <c r="E56" s="148" t="s">
        <v>616</v>
      </c>
      <c r="F56" s="143">
        <f t="shared" si="10"/>
        <v>14.351499999999998</v>
      </c>
      <c r="G56" s="148" t="s">
        <v>623</v>
      </c>
      <c r="H56" s="150">
        <v>88247</v>
      </c>
      <c r="I56" s="148" t="s">
        <v>624</v>
      </c>
      <c r="J56" s="148" t="s">
        <v>432</v>
      </c>
      <c r="K56" s="148" t="s">
        <v>625</v>
      </c>
      <c r="L56" s="150">
        <v>0.11</v>
      </c>
      <c r="M56" s="150">
        <v>20.42</v>
      </c>
      <c r="N56" s="143">
        <f t="shared" si="11"/>
        <v>2.2462000000000004</v>
      </c>
    </row>
    <row r="57" spans="2:14" ht="63.75">
      <c r="B57" s="148" t="s">
        <v>214</v>
      </c>
      <c r="C57" s="155" t="s">
        <v>215</v>
      </c>
      <c r="D57" s="150" t="s">
        <v>39</v>
      </c>
      <c r="E57" s="148" t="s">
        <v>616</v>
      </c>
      <c r="F57" s="143">
        <f t="shared" si="10"/>
        <v>14.351499999999998</v>
      </c>
      <c r="G57" s="148" t="s">
        <v>623</v>
      </c>
      <c r="H57" s="150">
        <v>88264</v>
      </c>
      <c r="I57" s="148" t="s">
        <v>574</v>
      </c>
      <c r="J57" s="148" t="s">
        <v>432</v>
      </c>
      <c r="K57" s="148" t="s">
        <v>625</v>
      </c>
      <c r="L57" s="150">
        <v>0.11</v>
      </c>
      <c r="M57" s="150">
        <v>23.23</v>
      </c>
      <c r="N57" s="143">
        <f t="shared" si="11"/>
        <v>2.5553</v>
      </c>
    </row>
    <row r="58" spans="2:14" ht="15">
      <c r="B58" s="147"/>
      <c r="C58" s="154"/>
      <c r="D58" s="147"/>
      <c r="E58" s="147"/>
      <c r="F58" s="147"/>
      <c r="G58" s="151"/>
      <c r="H58" s="147"/>
      <c r="I58" s="151"/>
      <c r="J58" s="152"/>
      <c r="K58" s="147"/>
      <c r="L58" s="152"/>
      <c r="M58" s="152"/>
      <c r="N58" s="143">
        <f>SUM(N52:N57)</f>
        <v>14.101499999999998</v>
      </c>
    </row>
    <row r="60" spans="2:14" ht="63.75">
      <c r="B60" s="148" t="s">
        <v>288</v>
      </c>
      <c r="C60" s="155" t="s">
        <v>289</v>
      </c>
      <c r="D60" s="150" t="s">
        <v>39</v>
      </c>
      <c r="E60" s="148" t="s">
        <v>616</v>
      </c>
      <c r="F60" s="143">
        <f aca="true" t="shared" si="12" ref="F60:F67">N$68</f>
        <v>108.64755</v>
      </c>
      <c r="G60" s="151"/>
      <c r="H60" s="147"/>
      <c r="I60" s="151"/>
      <c r="J60" s="152"/>
      <c r="K60" s="147"/>
      <c r="L60" s="152"/>
      <c r="M60" s="152"/>
      <c r="N60" s="153"/>
    </row>
    <row r="61" spans="2:14" ht="63.75">
      <c r="B61" s="148" t="s">
        <v>288</v>
      </c>
      <c r="C61" s="155" t="s">
        <v>289</v>
      </c>
      <c r="D61" s="150" t="s">
        <v>39</v>
      </c>
      <c r="E61" s="148" t="s">
        <v>616</v>
      </c>
      <c r="F61" s="143">
        <f t="shared" si="12"/>
        <v>108.64755</v>
      </c>
      <c r="G61" s="148" t="s">
        <v>512</v>
      </c>
      <c r="H61" s="150" t="s">
        <v>617</v>
      </c>
      <c r="I61" s="155" t="s">
        <v>638</v>
      </c>
      <c r="J61" s="148" t="s">
        <v>39</v>
      </c>
      <c r="K61" s="148" t="s">
        <v>617</v>
      </c>
      <c r="L61" s="150">
        <v>1</v>
      </c>
      <c r="M61" s="143">
        <v>52.9</v>
      </c>
      <c r="N61" s="143">
        <f aca="true" t="shared" si="13" ref="N61:N67">L61*M61</f>
        <v>52.9</v>
      </c>
    </row>
    <row r="62" spans="2:14" ht="63.75">
      <c r="B62" s="148" t="s">
        <v>288</v>
      </c>
      <c r="C62" s="155" t="s">
        <v>289</v>
      </c>
      <c r="D62" s="150" t="s">
        <v>39</v>
      </c>
      <c r="E62" s="148" t="s">
        <v>616</v>
      </c>
      <c r="F62" s="143">
        <f t="shared" si="12"/>
        <v>108.64755</v>
      </c>
      <c r="G62" s="148" t="s">
        <v>512</v>
      </c>
      <c r="H62" s="150" t="s">
        <v>617</v>
      </c>
      <c r="I62" s="148" t="s">
        <v>629</v>
      </c>
      <c r="J62" s="148" t="s">
        <v>39</v>
      </c>
      <c r="K62" s="148" t="s">
        <v>617</v>
      </c>
      <c r="L62" s="150">
        <v>4</v>
      </c>
      <c r="M62" s="143">
        <v>1.76</v>
      </c>
      <c r="N62" s="143">
        <f t="shared" si="13"/>
        <v>7.04</v>
      </c>
    </row>
    <row r="63" spans="2:14" ht="63.75">
      <c r="B63" s="148" t="s">
        <v>288</v>
      </c>
      <c r="C63" s="155" t="s">
        <v>289</v>
      </c>
      <c r="D63" s="150" t="s">
        <v>39</v>
      </c>
      <c r="E63" s="148" t="s">
        <v>616</v>
      </c>
      <c r="F63" s="143">
        <f t="shared" si="12"/>
        <v>108.64755</v>
      </c>
      <c r="G63" s="148" t="s">
        <v>512</v>
      </c>
      <c r="H63" s="150"/>
      <c r="I63" s="148" t="s">
        <v>630</v>
      </c>
      <c r="J63" s="148" t="s">
        <v>39</v>
      </c>
      <c r="K63" s="148" t="s">
        <v>617</v>
      </c>
      <c r="L63" s="150">
        <v>16.8</v>
      </c>
      <c r="M63" s="143">
        <v>0.53</v>
      </c>
      <c r="N63" s="143">
        <f t="shared" si="13"/>
        <v>8.904000000000002</v>
      </c>
    </row>
    <row r="64" spans="2:14" ht="63.75">
      <c r="B64" s="148" t="s">
        <v>288</v>
      </c>
      <c r="C64" s="155" t="s">
        <v>289</v>
      </c>
      <c r="D64" s="150" t="s">
        <v>39</v>
      </c>
      <c r="E64" s="148" t="s">
        <v>616</v>
      </c>
      <c r="F64" s="143">
        <f t="shared" si="12"/>
        <v>108.64755</v>
      </c>
      <c r="G64" s="148" t="s">
        <v>512</v>
      </c>
      <c r="H64" s="150"/>
      <c r="I64" s="148" t="s">
        <v>631</v>
      </c>
      <c r="J64" s="148" t="s">
        <v>39</v>
      </c>
      <c r="K64" s="148" t="s">
        <v>617</v>
      </c>
      <c r="L64" s="150">
        <v>16.8</v>
      </c>
      <c r="M64" s="143">
        <v>0.8</v>
      </c>
      <c r="N64" s="143">
        <f t="shared" si="13"/>
        <v>13.440000000000001</v>
      </c>
    </row>
    <row r="65" spans="2:14" ht="63.75">
      <c r="B65" s="148" t="s">
        <v>288</v>
      </c>
      <c r="C65" s="155" t="s">
        <v>289</v>
      </c>
      <c r="D65" s="150" t="s">
        <v>39</v>
      </c>
      <c r="E65" s="148" t="s">
        <v>616</v>
      </c>
      <c r="F65" s="143">
        <f t="shared" si="12"/>
        <v>108.64755</v>
      </c>
      <c r="G65" s="148" t="s">
        <v>512</v>
      </c>
      <c r="H65" s="150"/>
      <c r="I65" s="148" t="s">
        <v>632</v>
      </c>
      <c r="J65" s="148" t="s">
        <v>39</v>
      </c>
      <c r="K65" s="148" t="s">
        <v>617</v>
      </c>
      <c r="L65" s="150">
        <v>16.8</v>
      </c>
      <c r="M65" s="143">
        <v>0.2</v>
      </c>
      <c r="N65" s="143">
        <f t="shared" si="13"/>
        <v>3.3600000000000003</v>
      </c>
    </row>
    <row r="66" spans="2:14" ht="63.75">
      <c r="B66" s="148" t="s">
        <v>288</v>
      </c>
      <c r="C66" s="155" t="s">
        <v>289</v>
      </c>
      <c r="D66" s="150" t="s">
        <v>39</v>
      </c>
      <c r="E66" s="148" t="s">
        <v>616</v>
      </c>
      <c r="F66" s="143">
        <f t="shared" si="12"/>
        <v>108.64755</v>
      </c>
      <c r="G66" s="148" t="s">
        <v>623</v>
      </c>
      <c r="H66" s="150">
        <v>88247</v>
      </c>
      <c r="I66" s="148" t="s">
        <v>624</v>
      </c>
      <c r="J66" s="148" t="s">
        <v>432</v>
      </c>
      <c r="K66" s="148" t="s">
        <v>625</v>
      </c>
      <c r="L66" s="150">
        <v>0.527</v>
      </c>
      <c r="M66" s="150">
        <v>20.42</v>
      </c>
      <c r="N66" s="143">
        <f t="shared" si="13"/>
        <v>10.76134</v>
      </c>
    </row>
    <row r="67" spans="2:14" ht="63.75">
      <c r="B67" s="148" t="s">
        <v>288</v>
      </c>
      <c r="C67" s="155" t="s">
        <v>289</v>
      </c>
      <c r="D67" s="150" t="s">
        <v>39</v>
      </c>
      <c r="E67" s="148" t="s">
        <v>616</v>
      </c>
      <c r="F67" s="143">
        <f t="shared" si="12"/>
        <v>108.64755</v>
      </c>
      <c r="G67" s="148" t="s">
        <v>623</v>
      </c>
      <c r="H67" s="150">
        <v>88264</v>
      </c>
      <c r="I67" s="148" t="s">
        <v>574</v>
      </c>
      <c r="J67" s="148" t="s">
        <v>432</v>
      </c>
      <c r="K67" s="148" t="s">
        <v>625</v>
      </c>
      <c r="L67" s="150">
        <v>0.527</v>
      </c>
      <c r="M67" s="150">
        <v>23.23</v>
      </c>
      <c r="N67" s="143">
        <f t="shared" si="13"/>
        <v>12.24221</v>
      </c>
    </row>
    <row r="68" spans="2:14" ht="15">
      <c r="B68" s="147"/>
      <c r="C68" s="154"/>
      <c r="D68" s="147"/>
      <c r="E68" s="147"/>
      <c r="F68" s="147"/>
      <c r="G68" s="151"/>
      <c r="H68" s="147"/>
      <c r="I68" s="151"/>
      <c r="J68" s="152"/>
      <c r="K68" s="147"/>
      <c r="L68" s="152"/>
      <c r="M68" s="152"/>
      <c r="N68" s="143">
        <f>SUM(N61:N67)</f>
        <v>108.64755</v>
      </c>
    </row>
    <row r="70" spans="2:14" ht="76.5">
      <c r="B70" s="148" t="s">
        <v>325</v>
      </c>
      <c r="C70" s="149" t="s">
        <v>639</v>
      </c>
      <c r="D70" s="150" t="s">
        <v>39</v>
      </c>
      <c r="E70" s="148" t="s">
        <v>616</v>
      </c>
      <c r="F70" s="143">
        <f aca="true" t="shared" si="14" ref="F70:F77">N$78</f>
        <v>88.64755000000001</v>
      </c>
      <c r="G70" s="151"/>
      <c r="H70" s="147"/>
      <c r="I70" s="151"/>
      <c r="J70" s="152"/>
      <c r="K70" s="147"/>
      <c r="L70" s="152"/>
      <c r="M70" s="152"/>
      <c r="N70" s="153"/>
    </row>
    <row r="71" spans="2:14" ht="76.5">
      <c r="B71" s="148" t="s">
        <v>325</v>
      </c>
      <c r="C71" s="149" t="s">
        <v>639</v>
      </c>
      <c r="D71" s="150" t="s">
        <v>39</v>
      </c>
      <c r="E71" s="148" t="s">
        <v>616</v>
      </c>
      <c r="F71" s="143">
        <f t="shared" si="14"/>
        <v>88.64755000000001</v>
      </c>
      <c r="G71" s="148" t="s">
        <v>512</v>
      </c>
      <c r="H71" s="150" t="s">
        <v>617</v>
      </c>
      <c r="I71" s="148" t="s">
        <v>640</v>
      </c>
      <c r="J71" s="148" t="s">
        <v>39</v>
      </c>
      <c r="K71" s="148" t="s">
        <v>617</v>
      </c>
      <c r="L71" s="150">
        <v>1</v>
      </c>
      <c r="M71" s="143">
        <v>32.9</v>
      </c>
      <c r="N71" s="143">
        <f aca="true" t="shared" si="15" ref="N71:N77">L71*M71</f>
        <v>32.9</v>
      </c>
    </row>
    <row r="72" spans="2:14" ht="76.5">
      <c r="B72" s="148" t="s">
        <v>325</v>
      </c>
      <c r="C72" s="149" t="s">
        <v>639</v>
      </c>
      <c r="D72" s="150" t="s">
        <v>39</v>
      </c>
      <c r="E72" s="148" t="s">
        <v>616</v>
      </c>
      <c r="F72" s="143">
        <f t="shared" si="14"/>
        <v>88.64755000000001</v>
      </c>
      <c r="G72" s="148" t="s">
        <v>512</v>
      </c>
      <c r="H72" s="150" t="s">
        <v>617</v>
      </c>
      <c r="I72" s="148" t="s">
        <v>636</v>
      </c>
      <c r="J72" s="148" t="s">
        <v>39</v>
      </c>
      <c r="K72" s="148" t="s">
        <v>617</v>
      </c>
      <c r="L72" s="150">
        <v>4</v>
      </c>
      <c r="M72" s="143">
        <v>1.76</v>
      </c>
      <c r="N72" s="143">
        <f t="shared" si="15"/>
        <v>7.04</v>
      </c>
    </row>
    <row r="73" spans="2:14" ht="76.5">
      <c r="B73" s="148" t="s">
        <v>325</v>
      </c>
      <c r="C73" s="149" t="s">
        <v>639</v>
      </c>
      <c r="D73" s="150" t="s">
        <v>39</v>
      </c>
      <c r="E73" s="148" t="s">
        <v>616</v>
      </c>
      <c r="F73" s="143">
        <f t="shared" si="14"/>
        <v>88.64755000000001</v>
      </c>
      <c r="G73" s="148" t="s">
        <v>512</v>
      </c>
      <c r="H73" s="150"/>
      <c r="I73" s="148" t="s">
        <v>630</v>
      </c>
      <c r="J73" s="148" t="s">
        <v>39</v>
      </c>
      <c r="K73" s="148" t="s">
        <v>617</v>
      </c>
      <c r="L73" s="150">
        <v>16.8</v>
      </c>
      <c r="M73" s="143">
        <v>0.53</v>
      </c>
      <c r="N73" s="143">
        <f t="shared" si="15"/>
        <v>8.904000000000002</v>
      </c>
    </row>
    <row r="74" spans="2:14" ht="76.5">
      <c r="B74" s="148" t="s">
        <v>325</v>
      </c>
      <c r="C74" s="149" t="s">
        <v>639</v>
      </c>
      <c r="D74" s="150" t="s">
        <v>39</v>
      </c>
      <c r="E74" s="148" t="s">
        <v>616</v>
      </c>
      <c r="F74" s="143">
        <f t="shared" si="14"/>
        <v>88.64755000000001</v>
      </c>
      <c r="G74" s="148" t="s">
        <v>512</v>
      </c>
      <c r="H74" s="150"/>
      <c r="I74" s="148" t="s">
        <v>631</v>
      </c>
      <c r="J74" s="148" t="s">
        <v>39</v>
      </c>
      <c r="K74" s="148" t="s">
        <v>617</v>
      </c>
      <c r="L74" s="150">
        <v>16.8</v>
      </c>
      <c r="M74" s="143">
        <v>0.8</v>
      </c>
      <c r="N74" s="143">
        <f t="shared" si="15"/>
        <v>13.440000000000001</v>
      </c>
    </row>
    <row r="75" spans="2:14" ht="76.5">
      <c r="B75" s="148" t="s">
        <v>325</v>
      </c>
      <c r="C75" s="149" t="s">
        <v>639</v>
      </c>
      <c r="D75" s="150" t="s">
        <v>39</v>
      </c>
      <c r="E75" s="148" t="s">
        <v>616</v>
      </c>
      <c r="F75" s="143">
        <f t="shared" si="14"/>
        <v>88.64755000000001</v>
      </c>
      <c r="G75" s="148" t="s">
        <v>512</v>
      </c>
      <c r="H75" s="150"/>
      <c r="I75" s="148" t="s">
        <v>632</v>
      </c>
      <c r="J75" s="148" t="s">
        <v>39</v>
      </c>
      <c r="K75" s="148" t="s">
        <v>617</v>
      </c>
      <c r="L75" s="150">
        <v>16.8</v>
      </c>
      <c r="M75" s="143">
        <v>0.2</v>
      </c>
      <c r="N75" s="143">
        <f t="shared" si="15"/>
        <v>3.3600000000000003</v>
      </c>
    </row>
    <row r="76" spans="2:14" ht="76.5">
      <c r="B76" s="148" t="s">
        <v>325</v>
      </c>
      <c r="C76" s="149" t="s">
        <v>639</v>
      </c>
      <c r="D76" s="150" t="s">
        <v>39</v>
      </c>
      <c r="E76" s="148" t="s">
        <v>616</v>
      </c>
      <c r="F76" s="143">
        <f t="shared" si="14"/>
        <v>88.64755000000001</v>
      </c>
      <c r="G76" s="148" t="s">
        <v>623</v>
      </c>
      <c r="H76" s="150">
        <v>88247</v>
      </c>
      <c r="I76" s="148" t="s">
        <v>624</v>
      </c>
      <c r="J76" s="148" t="s">
        <v>432</v>
      </c>
      <c r="K76" s="148" t="s">
        <v>625</v>
      </c>
      <c r="L76" s="150">
        <v>0.527</v>
      </c>
      <c r="M76" s="150">
        <v>20.42</v>
      </c>
      <c r="N76" s="143">
        <f t="shared" si="15"/>
        <v>10.76134</v>
      </c>
    </row>
    <row r="77" spans="2:14" ht="76.5">
      <c r="B77" s="148" t="s">
        <v>325</v>
      </c>
      <c r="C77" s="149" t="s">
        <v>639</v>
      </c>
      <c r="D77" s="150" t="s">
        <v>39</v>
      </c>
      <c r="E77" s="148" t="s">
        <v>616</v>
      </c>
      <c r="F77" s="143">
        <f t="shared" si="14"/>
        <v>88.64755000000001</v>
      </c>
      <c r="G77" s="148" t="s">
        <v>623</v>
      </c>
      <c r="H77" s="150">
        <v>88264</v>
      </c>
      <c r="I77" s="148" t="s">
        <v>574</v>
      </c>
      <c r="J77" s="148" t="s">
        <v>432</v>
      </c>
      <c r="K77" s="148" t="s">
        <v>625</v>
      </c>
      <c r="L77" s="150">
        <v>0.527</v>
      </c>
      <c r="M77" s="150">
        <v>23.23</v>
      </c>
      <c r="N77" s="143">
        <f t="shared" si="15"/>
        <v>12.24221</v>
      </c>
    </row>
    <row r="78" spans="2:14" ht="15">
      <c r="B78" s="147"/>
      <c r="C78" s="154"/>
      <c r="D78" s="147"/>
      <c r="E78" s="147"/>
      <c r="F78" s="147"/>
      <c r="G78" s="151"/>
      <c r="H78" s="147"/>
      <c r="I78" s="151"/>
      <c r="J78" s="152"/>
      <c r="K78" s="147"/>
      <c r="L78" s="152"/>
      <c r="M78" s="152"/>
      <c r="N78" s="143">
        <f>SUM(N71:N77)</f>
        <v>88.64755000000001</v>
      </c>
    </row>
    <row r="80" spans="2:14" ht="63.75">
      <c r="B80" s="148" t="s">
        <v>217</v>
      </c>
      <c r="C80" s="155" t="s">
        <v>218</v>
      </c>
      <c r="D80" s="150" t="s">
        <v>39</v>
      </c>
      <c r="E80" s="148" t="s">
        <v>616</v>
      </c>
      <c r="F80" s="143">
        <f aca="true" t="shared" si="16" ref="F80:F87">N$88</f>
        <v>110.46755</v>
      </c>
      <c r="G80" s="151"/>
      <c r="H80" s="147"/>
      <c r="I80" s="151"/>
      <c r="J80" s="152"/>
      <c r="K80" s="147"/>
      <c r="L80" s="152"/>
      <c r="M80" s="152"/>
      <c r="N80" s="153"/>
    </row>
    <row r="81" spans="2:14" ht="63.75">
      <c r="B81" s="148" t="s">
        <v>217</v>
      </c>
      <c r="C81" s="155" t="s">
        <v>218</v>
      </c>
      <c r="D81" s="150" t="s">
        <v>39</v>
      </c>
      <c r="E81" s="148" t="s">
        <v>616</v>
      </c>
      <c r="F81" s="143">
        <f t="shared" si="16"/>
        <v>110.46755</v>
      </c>
      <c r="G81" s="148" t="s">
        <v>512</v>
      </c>
      <c r="H81" s="150" t="s">
        <v>617</v>
      </c>
      <c r="I81" s="155" t="s">
        <v>641</v>
      </c>
      <c r="J81" s="148" t="s">
        <v>39</v>
      </c>
      <c r="K81" s="148" t="s">
        <v>617</v>
      </c>
      <c r="L81" s="150">
        <v>1</v>
      </c>
      <c r="M81" s="143">
        <v>54.72</v>
      </c>
      <c r="N81" s="143">
        <f aca="true" t="shared" si="17" ref="N81:N87">L81*M81</f>
        <v>54.72</v>
      </c>
    </row>
    <row r="82" spans="2:14" ht="63.75">
      <c r="B82" s="148" t="s">
        <v>217</v>
      </c>
      <c r="C82" s="155" t="s">
        <v>218</v>
      </c>
      <c r="D82" s="150" t="s">
        <v>39</v>
      </c>
      <c r="E82" s="148" t="s">
        <v>616</v>
      </c>
      <c r="F82" s="143">
        <f t="shared" si="16"/>
        <v>110.46755</v>
      </c>
      <c r="G82" s="148" t="s">
        <v>512</v>
      </c>
      <c r="H82" s="150" t="s">
        <v>617</v>
      </c>
      <c r="I82" s="148" t="s">
        <v>629</v>
      </c>
      <c r="J82" s="148" t="s">
        <v>39</v>
      </c>
      <c r="K82" s="148" t="s">
        <v>617</v>
      </c>
      <c r="L82" s="150">
        <v>4</v>
      </c>
      <c r="M82" s="143">
        <v>1.76</v>
      </c>
      <c r="N82" s="143">
        <f t="shared" si="17"/>
        <v>7.04</v>
      </c>
    </row>
    <row r="83" spans="2:14" ht="63.75">
      <c r="B83" s="148" t="s">
        <v>217</v>
      </c>
      <c r="C83" s="155" t="s">
        <v>218</v>
      </c>
      <c r="D83" s="150" t="s">
        <v>39</v>
      </c>
      <c r="E83" s="148" t="s">
        <v>616</v>
      </c>
      <c r="F83" s="143">
        <f t="shared" si="16"/>
        <v>110.46755</v>
      </c>
      <c r="G83" s="148" t="s">
        <v>512</v>
      </c>
      <c r="H83" s="150"/>
      <c r="I83" s="148" t="s">
        <v>630</v>
      </c>
      <c r="J83" s="148" t="s">
        <v>39</v>
      </c>
      <c r="K83" s="148" t="s">
        <v>617</v>
      </c>
      <c r="L83" s="150">
        <v>16.8</v>
      </c>
      <c r="M83" s="143">
        <v>0.53</v>
      </c>
      <c r="N83" s="143">
        <f t="shared" si="17"/>
        <v>8.904000000000002</v>
      </c>
    </row>
    <row r="84" spans="2:14" ht="63.75">
      <c r="B84" s="148" t="s">
        <v>217</v>
      </c>
      <c r="C84" s="155" t="s">
        <v>218</v>
      </c>
      <c r="D84" s="150" t="s">
        <v>39</v>
      </c>
      <c r="E84" s="148" t="s">
        <v>616</v>
      </c>
      <c r="F84" s="143">
        <f t="shared" si="16"/>
        <v>110.46755</v>
      </c>
      <c r="G84" s="148" t="s">
        <v>512</v>
      </c>
      <c r="H84" s="150"/>
      <c r="I84" s="148" t="s">
        <v>631</v>
      </c>
      <c r="J84" s="148" t="s">
        <v>39</v>
      </c>
      <c r="K84" s="148" t="s">
        <v>617</v>
      </c>
      <c r="L84" s="150">
        <v>16.8</v>
      </c>
      <c r="M84" s="143">
        <v>0.8</v>
      </c>
      <c r="N84" s="143">
        <f t="shared" si="17"/>
        <v>13.440000000000001</v>
      </c>
    </row>
    <row r="85" spans="2:14" ht="63.75">
      <c r="B85" s="148" t="s">
        <v>217</v>
      </c>
      <c r="C85" s="155" t="s">
        <v>218</v>
      </c>
      <c r="D85" s="150" t="s">
        <v>39</v>
      </c>
      <c r="E85" s="148" t="s">
        <v>616</v>
      </c>
      <c r="F85" s="143">
        <f t="shared" si="16"/>
        <v>110.46755</v>
      </c>
      <c r="G85" s="148" t="s">
        <v>512</v>
      </c>
      <c r="H85" s="150"/>
      <c r="I85" s="148" t="s">
        <v>632</v>
      </c>
      <c r="J85" s="148" t="s">
        <v>39</v>
      </c>
      <c r="K85" s="148" t="s">
        <v>617</v>
      </c>
      <c r="L85" s="150">
        <v>16.8</v>
      </c>
      <c r="M85" s="143">
        <v>0.2</v>
      </c>
      <c r="N85" s="143">
        <f t="shared" si="17"/>
        <v>3.3600000000000003</v>
      </c>
    </row>
    <row r="86" spans="2:14" ht="63.75">
      <c r="B86" s="148" t="s">
        <v>217</v>
      </c>
      <c r="C86" s="155" t="s">
        <v>218</v>
      </c>
      <c r="D86" s="150" t="s">
        <v>39</v>
      </c>
      <c r="E86" s="148" t="s">
        <v>616</v>
      </c>
      <c r="F86" s="143">
        <f t="shared" si="16"/>
        <v>110.46755</v>
      </c>
      <c r="G86" s="148" t="s">
        <v>623</v>
      </c>
      <c r="H86" s="150">
        <v>88247</v>
      </c>
      <c r="I86" s="148" t="s">
        <v>624</v>
      </c>
      <c r="J86" s="148" t="s">
        <v>432</v>
      </c>
      <c r="K86" s="148" t="s">
        <v>625</v>
      </c>
      <c r="L86" s="150">
        <v>0.527</v>
      </c>
      <c r="M86" s="150">
        <v>20.42</v>
      </c>
      <c r="N86" s="143">
        <f t="shared" si="17"/>
        <v>10.76134</v>
      </c>
    </row>
    <row r="87" spans="2:14" ht="63.75">
      <c r="B87" s="148" t="s">
        <v>217</v>
      </c>
      <c r="C87" s="155" t="s">
        <v>218</v>
      </c>
      <c r="D87" s="150" t="s">
        <v>39</v>
      </c>
      <c r="E87" s="148" t="s">
        <v>616</v>
      </c>
      <c r="F87" s="143">
        <f t="shared" si="16"/>
        <v>110.46755</v>
      </c>
      <c r="G87" s="148" t="s">
        <v>623</v>
      </c>
      <c r="H87" s="150">
        <v>88264</v>
      </c>
      <c r="I87" s="148" t="s">
        <v>574</v>
      </c>
      <c r="J87" s="148" t="s">
        <v>432</v>
      </c>
      <c r="K87" s="148" t="s">
        <v>625</v>
      </c>
      <c r="L87" s="150">
        <v>0.527</v>
      </c>
      <c r="M87" s="150">
        <v>23.23</v>
      </c>
      <c r="N87" s="143">
        <f t="shared" si="17"/>
        <v>12.24221</v>
      </c>
    </row>
    <row r="88" spans="2:14" ht="15">
      <c r="B88" s="147"/>
      <c r="C88" s="154"/>
      <c r="D88" s="147"/>
      <c r="E88" s="147"/>
      <c r="F88" s="147"/>
      <c r="G88" s="151"/>
      <c r="H88" s="147"/>
      <c r="I88" s="151"/>
      <c r="J88" s="152"/>
      <c r="K88" s="147"/>
      <c r="L88" s="152"/>
      <c r="M88" s="152"/>
      <c r="N88" s="143">
        <f>SUM(N81:N87)</f>
        <v>110.46755</v>
      </c>
    </row>
    <row r="90" spans="2:14" ht="76.5">
      <c r="B90" s="148" t="s">
        <v>220</v>
      </c>
      <c r="C90" s="149" t="s">
        <v>642</v>
      </c>
      <c r="D90" s="150" t="s">
        <v>39</v>
      </c>
      <c r="E90" s="148" t="s">
        <v>616</v>
      </c>
      <c r="F90" s="143">
        <f aca="true" t="shared" si="18" ref="F90:F97">N$98</f>
        <v>96.73755000000001</v>
      </c>
      <c r="G90" s="151"/>
      <c r="H90" s="147"/>
      <c r="I90" s="151"/>
      <c r="J90" s="152"/>
      <c r="K90" s="147"/>
      <c r="L90" s="152"/>
      <c r="M90" s="152"/>
      <c r="N90" s="153"/>
    </row>
    <row r="91" spans="2:14" ht="76.5">
      <c r="B91" s="148" t="s">
        <v>220</v>
      </c>
      <c r="C91" s="149" t="s">
        <v>642</v>
      </c>
      <c r="D91" s="150" t="s">
        <v>39</v>
      </c>
      <c r="E91" s="148" t="s">
        <v>616</v>
      </c>
      <c r="F91" s="143">
        <f t="shared" si="18"/>
        <v>96.73755000000001</v>
      </c>
      <c r="G91" s="148" t="s">
        <v>512</v>
      </c>
      <c r="H91" s="150" t="s">
        <v>617</v>
      </c>
      <c r="I91" s="148" t="s">
        <v>643</v>
      </c>
      <c r="J91" s="148" t="s">
        <v>39</v>
      </c>
      <c r="K91" s="148" t="s">
        <v>617</v>
      </c>
      <c r="L91" s="150">
        <v>1</v>
      </c>
      <c r="M91" s="143">
        <v>40.99</v>
      </c>
      <c r="N91" s="143">
        <f aca="true" t="shared" si="19" ref="N91:N97">L91*M91</f>
        <v>40.99</v>
      </c>
    </row>
    <row r="92" spans="2:14" ht="76.5">
      <c r="B92" s="148" t="s">
        <v>220</v>
      </c>
      <c r="C92" s="149" t="s">
        <v>642</v>
      </c>
      <c r="D92" s="150" t="s">
        <v>39</v>
      </c>
      <c r="E92" s="148" t="s">
        <v>616</v>
      </c>
      <c r="F92" s="143">
        <f t="shared" si="18"/>
        <v>96.73755000000001</v>
      </c>
      <c r="G92" s="148" t="s">
        <v>512</v>
      </c>
      <c r="H92" s="150" t="s">
        <v>617</v>
      </c>
      <c r="I92" s="148" t="s">
        <v>636</v>
      </c>
      <c r="J92" s="148" t="s">
        <v>39</v>
      </c>
      <c r="K92" s="148" t="s">
        <v>617</v>
      </c>
      <c r="L92" s="150">
        <v>4</v>
      </c>
      <c r="M92" s="143">
        <v>1.76</v>
      </c>
      <c r="N92" s="143">
        <f t="shared" si="19"/>
        <v>7.04</v>
      </c>
    </row>
    <row r="93" spans="2:14" ht="76.5">
      <c r="B93" s="148" t="s">
        <v>220</v>
      </c>
      <c r="C93" s="149" t="s">
        <v>642</v>
      </c>
      <c r="D93" s="150" t="s">
        <v>39</v>
      </c>
      <c r="E93" s="148" t="s">
        <v>616</v>
      </c>
      <c r="F93" s="143">
        <f t="shared" si="18"/>
        <v>96.73755000000001</v>
      </c>
      <c r="G93" s="148" t="s">
        <v>512</v>
      </c>
      <c r="H93" s="150"/>
      <c r="I93" s="148" t="s">
        <v>630</v>
      </c>
      <c r="J93" s="148" t="s">
        <v>39</v>
      </c>
      <c r="K93" s="148" t="s">
        <v>617</v>
      </c>
      <c r="L93" s="150">
        <v>16.8</v>
      </c>
      <c r="M93" s="143">
        <v>0.53</v>
      </c>
      <c r="N93" s="143">
        <f t="shared" si="19"/>
        <v>8.904000000000002</v>
      </c>
    </row>
    <row r="94" spans="2:14" ht="76.5">
      <c r="B94" s="148" t="s">
        <v>220</v>
      </c>
      <c r="C94" s="149" t="s">
        <v>642</v>
      </c>
      <c r="D94" s="150" t="s">
        <v>39</v>
      </c>
      <c r="E94" s="148" t="s">
        <v>616</v>
      </c>
      <c r="F94" s="143">
        <f t="shared" si="18"/>
        <v>96.73755000000001</v>
      </c>
      <c r="G94" s="148" t="s">
        <v>512</v>
      </c>
      <c r="H94" s="150"/>
      <c r="I94" s="148" t="s">
        <v>631</v>
      </c>
      <c r="J94" s="148" t="s">
        <v>39</v>
      </c>
      <c r="K94" s="148" t="s">
        <v>617</v>
      </c>
      <c r="L94" s="150">
        <v>16.8</v>
      </c>
      <c r="M94" s="143">
        <v>0.8</v>
      </c>
      <c r="N94" s="143">
        <f t="shared" si="19"/>
        <v>13.440000000000001</v>
      </c>
    </row>
    <row r="95" spans="2:14" ht="76.5">
      <c r="B95" s="148" t="s">
        <v>220</v>
      </c>
      <c r="C95" s="149" t="s">
        <v>642</v>
      </c>
      <c r="D95" s="150" t="s">
        <v>39</v>
      </c>
      <c r="E95" s="148" t="s">
        <v>616</v>
      </c>
      <c r="F95" s="143">
        <f t="shared" si="18"/>
        <v>96.73755000000001</v>
      </c>
      <c r="G95" s="148" t="s">
        <v>512</v>
      </c>
      <c r="H95" s="150"/>
      <c r="I95" s="148" t="s">
        <v>632</v>
      </c>
      <c r="J95" s="148" t="s">
        <v>39</v>
      </c>
      <c r="K95" s="148" t="s">
        <v>617</v>
      </c>
      <c r="L95" s="150">
        <v>16.8</v>
      </c>
      <c r="M95" s="143">
        <v>0.2</v>
      </c>
      <c r="N95" s="143">
        <f t="shared" si="19"/>
        <v>3.3600000000000003</v>
      </c>
    </row>
    <row r="96" spans="2:14" ht="76.5">
      <c r="B96" s="148" t="s">
        <v>220</v>
      </c>
      <c r="C96" s="149" t="s">
        <v>642</v>
      </c>
      <c r="D96" s="150" t="s">
        <v>39</v>
      </c>
      <c r="E96" s="148" t="s">
        <v>616</v>
      </c>
      <c r="F96" s="143">
        <f t="shared" si="18"/>
        <v>96.73755000000001</v>
      </c>
      <c r="G96" s="148" t="s">
        <v>623</v>
      </c>
      <c r="H96" s="150">
        <v>88247</v>
      </c>
      <c r="I96" s="148" t="s">
        <v>624</v>
      </c>
      <c r="J96" s="148" t="s">
        <v>432</v>
      </c>
      <c r="K96" s="148" t="s">
        <v>625</v>
      </c>
      <c r="L96" s="150">
        <v>0.527</v>
      </c>
      <c r="M96" s="150">
        <v>20.42</v>
      </c>
      <c r="N96" s="143">
        <f t="shared" si="19"/>
        <v>10.76134</v>
      </c>
    </row>
    <row r="97" spans="2:14" ht="76.5">
      <c r="B97" s="148" t="s">
        <v>220</v>
      </c>
      <c r="C97" s="149" t="s">
        <v>642</v>
      </c>
      <c r="D97" s="150" t="s">
        <v>39</v>
      </c>
      <c r="E97" s="148" t="s">
        <v>616</v>
      </c>
      <c r="F97" s="143">
        <f t="shared" si="18"/>
        <v>96.73755000000001</v>
      </c>
      <c r="G97" s="148" t="s">
        <v>623</v>
      </c>
      <c r="H97" s="150">
        <v>88264</v>
      </c>
      <c r="I97" s="148" t="s">
        <v>574</v>
      </c>
      <c r="J97" s="148" t="s">
        <v>432</v>
      </c>
      <c r="K97" s="148" t="s">
        <v>625</v>
      </c>
      <c r="L97" s="150">
        <v>0.527</v>
      </c>
      <c r="M97" s="150">
        <v>23.23</v>
      </c>
      <c r="N97" s="143">
        <f t="shared" si="19"/>
        <v>12.24221</v>
      </c>
    </row>
    <row r="98" spans="2:14" ht="15">
      <c r="B98" s="147"/>
      <c r="C98" s="154"/>
      <c r="D98" s="147"/>
      <c r="E98" s="147"/>
      <c r="F98" s="147"/>
      <c r="G98" s="151"/>
      <c r="H98" s="147"/>
      <c r="I98" s="151"/>
      <c r="J98" s="152"/>
      <c r="K98" s="147"/>
      <c r="L98" s="152"/>
      <c r="M98" s="152"/>
      <c r="N98" s="143">
        <f>SUM(N91:N97)</f>
        <v>96.73755000000001</v>
      </c>
    </row>
    <row r="100" spans="2:14" ht="76.5">
      <c r="B100" s="148" t="s">
        <v>223</v>
      </c>
      <c r="C100" s="149" t="s">
        <v>644</v>
      </c>
      <c r="D100" s="150" t="s">
        <v>39</v>
      </c>
      <c r="E100" s="148" t="s">
        <v>616</v>
      </c>
      <c r="F100" s="143">
        <f aca="true" t="shared" si="20" ref="F100:F107">N$108</f>
        <v>106.81755</v>
      </c>
      <c r="G100" s="151"/>
      <c r="H100" s="147"/>
      <c r="I100" s="151"/>
      <c r="J100" s="152"/>
      <c r="K100" s="147"/>
      <c r="L100" s="152"/>
      <c r="M100" s="152"/>
      <c r="N100" s="153"/>
    </row>
    <row r="101" spans="2:14" ht="76.5">
      <c r="B101" s="148" t="s">
        <v>223</v>
      </c>
      <c r="C101" s="149" t="s">
        <v>644</v>
      </c>
      <c r="D101" s="150" t="s">
        <v>39</v>
      </c>
      <c r="E101" s="148" t="s">
        <v>616</v>
      </c>
      <c r="F101" s="143">
        <f t="shared" si="20"/>
        <v>106.81755</v>
      </c>
      <c r="G101" s="148" t="s">
        <v>512</v>
      </c>
      <c r="H101" s="150" t="s">
        <v>617</v>
      </c>
      <c r="I101" s="148" t="s">
        <v>645</v>
      </c>
      <c r="J101" s="148" t="s">
        <v>39</v>
      </c>
      <c r="K101" s="148" t="s">
        <v>617</v>
      </c>
      <c r="L101" s="150">
        <v>1</v>
      </c>
      <c r="M101" s="143">
        <v>51.07</v>
      </c>
      <c r="N101" s="143">
        <f aca="true" t="shared" si="21" ref="N101:N107">L101*M101</f>
        <v>51.07</v>
      </c>
    </row>
    <row r="102" spans="2:14" ht="76.5">
      <c r="B102" s="148" t="s">
        <v>223</v>
      </c>
      <c r="C102" s="149" t="s">
        <v>644</v>
      </c>
      <c r="D102" s="150" t="s">
        <v>39</v>
      </c>
      <c r="E102" s="148" t="s">
        <v>616</v>
      </c>
      <c r="F102" s="143">
        <f t="shared" si="20"/>
        <v>106.81755</v>
      </c>
      <c r="G102" s="148" t="s">
        <v>512</v>
      </c>
      <c r="H102" s="150" t="s">
        <v>617</v>
      </c>
      <c r="I102" s="148" t="s">
        <v>636</v>
      </c>
      <c r="J102" s="148" t="s">
        <v>39</v>
      </c>
      <c r="K102" s="148" t="s">
        <v>617</v>
      </c>
      <c r="L102" s="150">
        <v>4</v>
      </c>
      <c r="M102" s="143">
        <v>1.76</v>
      </c>
      <c r="N102" s="143">
        <f t="shared" si="21"/>
        <v>7.04</v>
      </c>
    </row>
    <row r="103" spans="2:14" ht="76.5">
      <c r="B103" s="148" t="s">
        <v>223</v>
      </c>
      <c r="C103" s="149" t="s">
        <v>644</v>
      </c>
      <c r="D103" s="150" t="s">
        <v>39</v>
      </c>
      <c r="E103" s="148" t="s">
        <v>616</v>
      </c>
      <c r="F103" s="143">
        <f t="shared" si="20"/>
        <v>106.81755</v>
      </c>
      <c r="G103" s="148" t="s">
        <v>512</v>
      </c>
      <c r="H103" s="150"/>
      <c r="I103" s="148" t="s">
        <v>630</v>
      </c>
      <c r="J103" s="148" t="s">
        <v>39</v>
      </c>
      <c r="K103" s="148" t="s">
        <v>617</v>
      </c>
      <c r="L103" s="150">
        <v>16.8</v>
      </c>
      <c r="M103" s="143">
        <v>0.53</v>
      </c>
      <c r="N103" s="143">
        <f t="shared" si="21"/>
        <v>8.904000000000002</v>
      </c>
    </row>
    <row r="104" spans="2:14" ht="76.5">
      <c r="B104" s="148" t="s">
        <v>223</v>
      </c>
      <c r="C104" s="149" t="s">
        <v>644</v>
      </c>
      <c r="D104" s="150" t="s">
        <v>39</v>
      </c>
      <c r="E104" s="148" t="s">
        <v>616</v>
      </c>
      <c r="F104" s="143">
        <f t="shared" si="20"/>
        <v>106.81755</v>
      </c>
      <c r="G104" s="148" t="s">
        <v>512</v>
      </c>
      <c r="H104" s="150"/>
      <c r="I104" s="148" t="s">
        <v>631</v>
      </c>
      <c r="J104" s="148" t="s">
        <v>39</v>
      </c>
      <c r="K104" s="148" t="s">
        <v>617</v>
      </c>
      <c r="L104" s="150">
        <v>16.8</v>
      </c>
      <c r="M104" s="143">
        <v>0.8</v>
      </c>
      <c r="N104" s="143">
        <f t="shared" si="21"/>
        <v>13.440000000000001</v>
      </c>
    </row>
    <row r="105" spans="2:14" ht="76.5">
      <c r="B105" s="148" t="s">
        <v>223</v>
      </c>
      <c r="C105" s="149" t="s">
        <v>644</v>
      </c>
      <c r="D105" s="150" t="s">
        <v>39</v>
      </c>
      <c r="E105" s="148" t="s">
        <v>616</v>
      </c>
      <c r="F105" s="143">
        <f t="shared" si="20"/>
        <v>106.81755</v>
      </c>
      <c r="G105" s="148" t="s">
        <v>512</v>
      </c>
      <c r="H105" s="150"/>
      <c r="I105" s="148" t="s">
        <v>632</v>
      </c>
      <c r="J105" s="148" t="s">
        <v>39</v>
      </c>
      <c r="K105" s="148" t="s">
        <v>617</v>
      </c>
      <c r="L105" s="150">
        <v>16.8</v>
      </c>
      <c r="M105" s="143">
        <v>0.2</v>
      </c>
      <c r="N105" s="143">
        <f t="shared" si="21"/>
        <v>3.3600000000000003</v>
      </c>
    </row>
    <row r="106" spans="2:14" ht="76.5">
      <c r="B106" s="148" t="s">
        <v>223</v>
      </c>
      <c r="C106" s="149" t="s">
        <v>644</v>
      </c>
      <c r="D106" s="150" t="s">
        <v>39</v>
      </c>
      <c r="E106" s="148" t="s">
        <v>616</v>
      </c>
      <c r="F106" s="143">
        <f t="shared" si="20"/>
        <v>106.81755</v>
      </c>
      <c r="G106" s="148" t="s">
        <v>623</v>
      </c>
      <c r="H106" s="150">
        <v>88247</v>
      </c>
      <c r="I106" s="148" t="s">
        <v>624</v>
      </c>
      <c r="J106" s="148" t="s">
        <v>432</v>
      </c>
      <c r="K106" s="148" t="s">
        <v>625</v>
      </c>
      <c r="L106" s="150">
        <v>0.527</v>
      </c>
      <c r="M106" s="150">
        <v>20.42</v>
      </c>
      <c r="N106" s="143">
        <f t="shared" si="21"/>
        <v>10.76134</v>
      </c>
    </row>
    <row r="107" spans="2:14" ht="76.5">
      <c r="B107" s="148" t="s">
        <v>223</v>
      </c>
      <c r="C107" s="149" t="s">
        <v>644</v>
      </c>
      <c r="D107" s="150" t="s">
        <v>39</v>
      </c>
      <c r="E107" s="148" t="s">
        <v>616</v>
      </c>
      <c r="F107" s="143">
        <f t="shared" si="20"/>
        <v>106.81755</v>
      </c>
      <c r="G107" s="148" t="s">
        <v>623</v>
      </c>
      <c r="H107" s="150">
        <v>88264</v>
      </c>
      <c r="I107" s="148" t="s">
        <v>574</v>
      </c>
      <c r="J107" s="148" t="s">
        <v>432</v>
      </c>
      <c r="K107" s="148" t="s">
        <v>625</v>
      </c>
      <c r="L107" s="150">
        <v>0.527</v>
      </c>
      <c r="M107" s="150">
        <v>23.23</v>
      </c>
      <c r="N107" s="143">
        <f t="shared" si="21"/>
        <v>12.24221</v>
      </c>
    </row>
    <row r="108" spans="2:14" ht="15">
      <c r="B108" s="147"/>
      <c r="C108" s="154"/>
      <c r="D108" s="147"/>
      <c r="E108" s="147"/>
      <c r="F108" s="147"/>
      <c r="G108" s="151"/>
      <c r="H108" s="147"/>
      <c r="I108" s="151"/>
      <c r="J108" s="152"/>
      <c r="K108" s="147"/>
      <c r="L108" s="152"/>
      <c r="M108" s="152"/>
      <c r="N108" s="143">
        <f>SUM(N101:N107)</f>
        <v>106.81755</v>
      </c>
    </row>
    <row r="110" spans="2:14" ht="63.75">
      <c r="B110" s="148" t="s">
        <v>226</v>
      </c>
      <c r="C110" s="149" t="s">
        <v>646</v>
      </c>
      <c r="D110" s="150" t="s">
        <v>39</v>
      </c>
      <c r="E110" s="148" t="s">
        <v>616</v>
      </c>
      <c r="F110" s="143">
        <f aca="true" t="shared" si="22" ref="F110:F117">N$118</f>
        <v>132.80755</v>
      </c>
      <c r="G110" s="151"/>
      <c r="H110" s="147"/>
      <c r="I110" s="151"/>
      <c r="J110" s="152"/>
      <c r="K110" s="147"/>
      <c r="L110" s="152"/>
      <c r="M110" s="152"/>
      <c r="N110" s="153"/>
    </row>
    <row r="111" spans="2:14" ht="63.75">
      <c r="B111" s="148" t="s">
        <v>226</v>
      </c>
      <c r="C111" s="149" t="s">
        <v>646</v>
      </c>
      <c r="D111" s="150" t="s">
        <v>39</v>
      </c>
      <c r="E111" s="148" t="s">
        <v>616</v>
      </c>
      <c r="F111" s="143">
        <f t="shared" si="22"/>
        <v>132.80755</v>
      </c>
      <c r="G111" s="148" t="s">
        <v>512</v>
      </c>
      <c r="H111" s="150" t="s">
        <v>617</v>
      </c>
      <c r="I111" s="149" t="s">
        <v>647</v>
      </c>
      <c r="J111" s="148" t="s">
        <v>39</v>
      </c>
      <c r="K111" s="148" t="s">
        <v>617</v>
      </c>
      <c r="L111" s="150">
        <v>1</v>
      </c>
      <c r="M111" s="143">
        <v>77.06</v>
      </c>
      <c r="N111" s="143">
        <f aca="true" t="shared" si="23" ref="N111:N117">L111*M111</f>
        <v>77.06</v>
      </c>
    </row>
    <row r="112" spans="2:14" ht="63.75">
      <c r="B112" s="148" t="s">
        <v>226</v>
      </c>
      <c r="C112" s="149" t="s">
        <v>646</v>
      </c>
      <c r="D112" s="150" t="s">
        <v>39</v>
      </c>
      <c r="E112" s="148" t="s">
        <v>616</v>
      </c>
      <c r="F112" s="143">
        <f t="shared" si="22"/>
        <v>132.80755</v>
      </c>
      <c r="G112" s="148" t="s">
        <v>512</v>
      </c>
      <c r="H112" s="150" t="s">
        <v>617</v>
      </c>
      <c r="I112" s="148" t="s">
        <v>636</v>
      </c>
      <c r="J112" s="148" t="s">
        <v>39</v>
      </c>
      <c r="K112" s="148" t="s">
        <v>617</v>
      </c>
      <c r="L112" s="150">
        <v>4</v>
      </c>
      <c r="M112" s="143">
        <v>1.76</v>
      </c>
      <c r="N112" s="143">
        <f t="shared" si="23"/>
        <v>7.04</v>
      </c>
    </row>
    <row r="113" spans="2:14" ht="63.75">
      <c r="B113" s="148" t="s">
        <v>226</v>
      </c>
      <c r="C113" s="149" t="s">
        <v>646</v>
      </c>
      <c r="D113" s="150" t="s">
        <v>39</v>
      </c>
      <c r="E113" s="148" t="s">
        <v>616</v>
      </c>
      <c r="F113" s="143">
        <f t="shared" si="22"/>
        <v>132.80755</v>
      </c>
      <c r="G113" s="148" t="s">
        <v>512</v>
      </c>
      <c r="H113" s="150"/>
      <c r="I113" s="148" t="s">
        <v>630</v>
      </c>
      <c r="J113" s="148" t="s">
        <v>39</v>
      </c>
      <c r="K113" s="148" t="s">
        <v>617</v>
      </c>
      <c r="L113" s="150">
        <v>16.8</v>
      </c>
      <c r="M113" s="143">
        <v>0.53</v>
      </c>
      <c r="N113" s="143">
        <f t="shared" si="23"/>
        <v>8.904000000000002</v>
      </c>
    </row>
    <row r="114" spans="2:14" ht="63.75">
      <c r="B114" s="148" t="s">
        <v>226</v>
      </c>
      <c r="C114" s="149" t="s">
        <v>646</v>
      </c>
      <c r="D114" s="150" t="s">
        <v>39</v>
      </c>
      <c r="E114" s="148" t="s">
        <v>616</v>
      </c>
      <c r="F114" s="143">
        <f t="shared" si="22"/>
        <v>132.80755</v>
      </c>
      <c r="G114" s="148" t="s">
        <v>512</v>
      </c>
      <c r="H114" s="150"/>
      <c r="I114" s="148" t="s">
        <v>631</v>
      </c>
      <c r="J114" s="148" t="s">
        <v>39</v>
      </c>
      <c r="K114" s="148" t="s">
        <v>617</v>
      </c>
      <c r="L114" s="150">
        <v>16.8</v>
      </c>
      <c r="M114" s="143">
        <v>0.8</v>
      </c>
      <c r="N114" s="143">
        <f t="shared" si="23"/>
        <v>13.440000000000001</v>
      </c>
    </row>
    <row r="115" spans="2:14" ht="63.75">
      <c r="B115" s="148" t="s">
        <v>226</v>
      </c>
      <c r="C115" s="149" t="s">
        <v>646</v>
      </c>
      <c r="D115" s="150" t="s">
        <v>39</v>
      </c>
      <c r="E115" s="148" t="s">
        <v>616</v>
      </c>
      <c r="F115" s="143">
        <f t="shared" si="22"/>
        <v>132.80755</v>
      </c>
      <c r="G115" s="148" t="s">
        <v>512</v>
      </c>
      <c r="H115" s="150"/>
      <c r="I115" s="148" t="s">
        <v>632</v>
      </c>
      <c r="J115" s="148" t="s">
        <v>39</v>
      </c>
      <c r="K115" s="148" t="s">
        <v>617</v>
      </c>
      <c r="L115" s="150">
        <v>16.8</v>
      </c>
      <c r="M115" s="143">
        <v>0.2</v>
      </c>
      <c r="N115" s="143">
        <f t="shared" si="23"/>
        <v>3.3600000000000003</v>
      </c>
    </row>
    <row r="116" spans="2:14" ht="63.75">
      <c r="B116" s="148" t="s">
        <v>226</v>
      </c>
      <c r="C116" s="149" t="s">
        <v>646</v>
      </c>
      <c r="D116" s="150" t="s">
        <v>39</v>
      </c>
      <c r="E116" s="148" t="s">
        <v>616</v>
      </c>
      <c r="F116" s="143">
        <f t="shared" si="22"/>
        <v>132.80755</v>
      </c>
      <c r="G116" s="148" t="s">
        <v>623</v>
      </c>
      <c r="H116" s="150">
        <v>88247</v>
      </c>
      <c r="I116" s="148" t="s">
        <v>624</v>
      </c>
      <c r="J116" s="148" t="s">
        <v>432</v>
      </c>
      <c r="K116" s="148" t="s">
        <v>625</v>
      </c>
      <c r="L116" s="150">
        <v>0.527</v>
      </c>
      <c r="M116" s="150">
        <v>20.42</v>
      </c>
      <c r="N116" s="143">
        <f t="shared" si="23"/>
        <v>10.76134</v>
      </c>
    </row>
    <row r="117" spans="2:14" ht="63.75">
      <c r="B117" s="148" t="s">
        <v>226</v>
      </c>
      <c r="C117" s="149" t="s">
        <v>646</v>
      </c>
      <c r="D117" s="150" t="s">
        <v>39</v>
      </c>
      <c r="E117" s="148" t="s">
        <v>616</v>
      </c>
      <c r="F117" s="143">
        <f t="shared" si="22"/>
        <v>132.80755</v>
      </c>
      <c r="G117" s="148" t="s">
        <v>623</v>
      </c>
      <c r="H117" s="150">
        <v>88264</v>
      </c>
      <c r="I117" s="148" t="s">
        <v>574</v>
      </c>
      <c r="J117" s="148" t="s">
        <v>432</v>
      </c>
      <c r="K117" s="148" t="s">
        <v>625</v>
      </c>
      <c r="L117" s="150">
        <v>0.527</v>
      </c>
      <c r="M117" s="150">
        <v>23.23</v>
      </c>
      <c r="N117" s="143">
        <f t="shared" si="23"/>
        <v>12.24221</v>
      </c>
    </row>
    <row r="118" spans="2:14" ht="15">
      <c r="B118" s="147"/>
      <c r="C118" s="154"/>
      <c r="D118" s="147"/>
      <c r="E118" s="147"/>
      <c r="F118" s="147"/>
      <c r="G118" s="151"/>
      <c r="H118" s="147"/>
      <c r="I118" s="151"/>
      <c r="J118" s="152"/>
      <c r="K118" s="147"/>
      <c r="L118" s="152"/>
      <c r="M118" s="152"/>
      <c r="N118" s="143">
        <f>SUM(N111:N117)</f>
        <v>132.80755</v>
      </c>
    </row>
    <row r="120" spans="2:14" ht="25.5">
      <c r="B120" s="148" t="s">
        <v>648</v>
      </c>
      <c r="C120" s="149" t="s">
        <v>649</v>
      </c>
      <c r="D120" s="150" t="s">
        <v>39</v>
      </c>
      <c r="E120" s="148" t="s">
        <v>348</v>
      </c>
      <c r="F120" s="143">
        <f>N$125</f>
        <v>172.177395</v>
      </c>
      <c r="G120" s="151"/>
      <c r="H120" s="147"/>
      <c r="I120" s="151"/>
      <c r="J120" s="152"/>
      <c r="K120" s="147"/>
      <c r="L120" s="152"/>
      <c r="M120" s="152"/>
      <c r="N120" s="153"/>
    </row>
    <row r="121" spans="2:14" ht="38.25">
      <c r="B121" s="148" t="s">
        <v>648</v>
      </c>
      <c r="C121" s="149" t="s">
        <v>649</v>
      </c>
      <c r="D121" s="150" t="s">
        <v>39</v>
      </c>
      <c r="E121" s="148" t="s">
        <v>348</v>
      </c>
      <c r="F121" s="143">
        <f>N$125</f>
        <v>172.177395</v>
      </c>
      <c r="G121" s="148" t="s">
        <v>512</v>
      </c>
      <c r="H121" s="150"/>
      <c r="I121" s="149" t="s">
        <v>650</v>
      </c>
      <c r="J121" s="148" t="s">
        <v>39</v>
      </c>
      <c r="K121" s="148" t="s">
        <v>348</v>
      </c>
      <c r="L121" s="150">
        <v>1</v>
      </c>
      <c r="M121" s="143">
        <v>161</v>
      </c>
      <c r="N121" s="143">
        <f>L121*M121</f>
        <v>161</v>
      </c>
    </row>
    <row r="122" spans="2:14" ht="63.75">
      <c r="B122" s="148" t="s">
        <v>648</v>
      </c>
      <c r="C122" s="149" t="s">
        <v>649</v>
      </c>
      <c r="D122" s="150" t="s">
        <v>39</v>
      </c>
      <c r="E122" s="148" t="s">
        <v>348</v>
      </c>
      <c r="F122" s="143">
        <f>N$125</f>
        <v>172.177395</v>
      </c>
      <c r="G122" s="148" t="s">
        <v>512</v>
      </c>
      <c r="H122" s="150">
        <v>1573</v>
      </c>
      <c r="I122" s="149" t="s">
        <v>651</v>
      </c>
      <c r="J122" s="148" t="s">
        <v>39</v>
      </c>
      <c r="K122" s="148" t="s">
        <v>616</v>
      </c>
      <c r="L122" s="150">
        <v>2</v>
      </c>
      <c r="M122" s="143">
        <v>1.61</v>
      </c>
      <c r="N122" s="143">
        <f>L122*M122</f>
        <v>3.22</v>
      </c>
    </row>
    <row r="123" spans="2:14" ht="63.75">
      <c r="B123" s="148" t="s">
        <v>648</v>
      </c>
      <c r="C123" s="149" t="s">
        <v>649</v>
      </c>
      <c r="D123" s="150" t="s">
        <v>39</v>
      </c>
      <c r="E123" s="148" t="s">
        <v>348</v>
      </c>
      <c r="F123" s="143">
        <f>N$125</f>
        <v>172.177395</v>
      </c>
      <c r="G123" s="148" t="s">
        <v>623</v>
      </c>
      <c r="H123" s="150">
        <v>88247</v>
      </c>
      <c r="I123" s="148" t="s">
        <v>652</v>
      </c>
      <c r="J123" s="148" t="s">
        <v>432</v>
      </c>
      <c r="K123" s="148" t="s">
        <v>616</v>
      </c>
      <c r="L123" s="150">
        <v>0.1823</v>
      </c>
      <c r="M123" s="150">
        <v>20.42</v>
      </c>
      <c r="N123" s="143">
        <f>L123*M123</f>
        <v>3.722566</v>
      </c>
    </row>
    <row r="124" spans="2:14" ht="25.5">
      <c r="B124" s="148" t="s">
        <v>648</v>
      </c>
      <c r="C124" s="149" t="s">
        <v>649</v>
      </c>
      <c r="D124" s="150" t="s">
        <v>39</v>
      </c>
      <c r="E124" s="148" t="s">
        <v>348</v>
      </c>
      <c r="F124" s="143">
        <f>N$125</f>
        <v>172.177395</v>
      </c>
      <c r="G124" s="148" t="s">
        <v>623</v>
      </c>
      <c r="H124" s="150">
        <v>88264</v>
      </c>
      <c r="I124" s="148" t="s">
        <v>574</v>
      </c>
      <c r="J124" s="148" t="s">
        <v>432</v>
      </c>
      <c r="K124" s="148" t="s">
        <v>625</v>
      </c>
      <c r="L124" s="150">
        <v>0.1823</v>
      </c>
      <c r="M124" s="150">
        <v>23.23</v>
      </c>
      <c r="N124" s="143">
        <f>L124*M124</f>
        <v>4.2348289999999995</v>
      </c>
    </row>
    <row r="125" spans="2:14" ht="15">
      <c r="B125" s="147"/>
      <c r="C125" s="154"/>
      <c r="D125" s="147"/>
      <c r="E125" s="147"/>
      <c r="F125" s="147"/>
      <c r="G125" s="151"/>
      <c r="H125" s="147"/>
      <c r="I125" s="151"/>
      <c r="J125" s="152"/>
      <c r="K125" s="147"/>
      <c r="L125" s="152"/>
      <c r="M125" s="152"/>
      <c r="N125" s="143">
        <f>SUM(N121:N124)</f>
        <v>172.177395</v>
      </c>
    </row>
    <row r="127" spans="2:14" ht="51">
      <c r="B127" s="148" t="s">
        <v>251</v>
      </c>
      <c r="C127" s="149" t="s">
        <v>252</v>
      </c>
      <c r="D127" s="150" t="s">
        <v>39</v>
      </c>
      <c r="E127" s="148" t="s">
        <v>348</v>
      </c>
      <c r="F127" s="143">
        <f>N$132</f>
        <v>155.897395</v>
      </c>
      <c r="G127" s="151"/>
      <c r="H127" s="147"/>
      <c r="I127" s="151"/>
      <c r="J127" s="152"/>
      <c r="K127" s="147"/>
      <c r="L127" s="152"/>
      <c r="M127" s="152"/>
      <c r="N127" s="153"/>
    </row>
    <row r="128" spans="2:14" ht="51">
      <c r="B128" s="148" t="s">
        <v>251</v>
      </c>
      <c r="C128" s="149" t="s">
        <v>252</v>
      </c>
      <c r="D128" s="150" t="s">
        <v>39</v>
      </c>
      <c r="E128" s="148" t="s">
        <v>348</v>
      </c>
      <c r="F128" s="143">
        <f>N$132</f>
        <v>155.897395</v>
      </c>
      <c r="G128" s="148" t="s">
        <v>512</v>
      </c>
      <c r="H128" s="150">
        <v>39446</v>
      </c>
      <c r="I128" s="149" t="s">
        <v>653</v>
      </c>
      <c r="J128" s="148" t="s">
        <v>39</v>
      </c>
      <c r="K128" s="148" t="s">
        <v>348</v>
      </c>
      <c r="L128" s="150">
        <v>1</v>
      </c>
      <c r="M128" s="143">
        <v>144.72</v>
      </c>
      <c r="N128" s="143">
        <f>L128*M128</f>
        <v>144.72</v>
      </c>
    </row>
    <row r="129" spans="2:14" ht="63.75">
      <c r="B129" s="148" t="s">
        <v>251</v>
      </c>
      <c r="C129" s="149" t="s">
        <v>252</v>
      </c>
      <c r="D129" s="150" t="s">
        <v>39</v>
      </c>
      <c r="E129" s="148" t="s">
        <v>348</v>
      </c>
      <c r="F129" s="143">
        <f>N$132</f>
        <v>155.897395</v>
      </c>
      <c r="G129" s="148" t="s">
        <v>512</v>
      </c>
      <c r="H129" s="150">
        <v>1573</v>
      </c>
      <c r="I129" s="149" t="s">
        <v>651</v>
      </c>
      <c r="J129" s="148" t="s">
        <v>39</v>
      </c>
      <c r="K129" s="148" t="s">
        <v>616</v>
      </c>
      <c r="L129" s="150">
        <v>2</v>
      </c>
      <c r="M129" s="143">
        <v>1.61</v>
      </c>
      <c r="N129" s="143">
        <f>L129*M129</f>
        <v>3.22</v>
      </c>
    </row>
    <row r="130" spans="2:14" ht="63.75">
      <c r="B130" s="148" t="s">
        <v>251</v>
      </c>
      <c r="C130" s="149" t="s">
        <v>252</v>
      </c>
      <c r="D130" s="150" t="s">
        <v>39</v>
      </c>
      <c r="E130" s="148" t="s">
        <v>348</v>
      </c>
      <c r="F130" s="143">
        <f>N$132</f>
        <v>155.897395</v>
      </c>
      <c r="G130" s="148" t="s">
        <v>623</v>
      </c>
      <c r="H130" s="150">
        <v>88247</v>
      </c>
      <c r="I130" s="148" t="s">
        <v>652</v>
      </c>
      <c r="J130" s="148" t="s">
        <v>432</v>
      </c>
      <c r="K130" s="148" t="s">
        <v>616</v>
      </c>
      <c r="L130" s="150">
        <v>0.1823</v>
      </c>
      <c r="M130" s="150">
        <v>20.42</v>
      </c>
      <c r="N130" s="143">
        <f>L130*M130</f>
        <v>3.722566</v>
      </c>
    </row>
    <row r="131" spans="2:14" ht="51">
      <c r="B131" s="148" t="s">
        <v>251</v>
      </c>
      <c r="C131" s="149" t="s">
        <v>252</v>
      </c>
      <c r="D131" s="150" t="s">
        <v>39</v>
      </c>
      <c r="E131" s="148" t="s">
        <v>348</v>
      </c>
      <c r="F131" s="143">
        <f>N$132</f>
        <v>155.897395</v>
      </c>
      <c r="G131" s="148" t="s">
        <v>623</v>
      </c>
      <c r="H131" s="150">
        <v>88264</v>
      </c>
      <c r="I131" s="148" t="s">
        <v>574</v>
      </c>
      <c r="J131" s="148" t="s">
        <v>432</v>
      </c>
      <c r="K131" s="148" t="s">
        <v>625</v>
      </c>
      <c r="L131" s="150">
        <v>0.1823</v>
      </c>
      <c r="M131" s="150">
        <v>23.23</v>
      </c>
      <c r="N131" s="143">
        <f>L131*M131</f>
        <v>4.2348289999999995</v>
      </c>
    </row>
    <row r="132" spans="2:14" ht="15">
      <c r="B132" s="147"/>
      <c r="C132" s="154"/>
      <c r="D132" s="147"/>
      <c r="E132" s="147"/>
      <c r="F132" s="147"/>
      <c r="G132" s="151"/>
      <c r="H132" s="147"/>
      <c r="I132" s="151"/>
      <c r="J132" s="152"/>
      <c r="K132" s="147"/>
      <c r="L132" s="152"/>
      <c r="M132" s="152"/>
      <c r="N132" s="143">
        <f>SUM(N128:N131)</f>
        <v>155.897395</v>
      </c>
    </row>
    <row r="134" spans="2:14" ht="63.75">
      <c r="B134" s="148" t="s">
        <v>272</v>
      </c>
      <c r="C134" s="149" t="s">
        <v>273</v>
      </c>
      <c r="D134" s="150" t="s">
        <v>39</v>
      </c>
      <c r="E134" s="148" t="s">
        <v>348</v>
      </c>
      <c r="F134" s="143">
        <f>N$139</f>
        <v>273.86113299999994</v>
      </c>
      <c r="G134" s="151"/>
      <c r="H134" s="147"/>
      <c r="I134" s="151"/>
      <c r="J134" s="152"/>
      <c r="K134" s="147"/>
      <c r="L134" s="152"/>
      <c r="M134" s="152"/>
      <c r="N134" s="153"/>
    </row>
    <row r="135" spans="2:14" ht="63.75">
      <c r="B135" s="148" t="s">
        <v>272</v>
      </c>
      <c r="C135" s="149" t="s">
        <v>273</v>
      </c>
      <c r="D135" s="150" t="s">
        <v>39</v>
      </c>
      <c r="E135" s="148" t="s">
        <v>348</v>
      </c>
      <c r="F135" s="143">
        <f>N$139</f>
        <v>273.86113299999994</v>
      </c>
      <c r="G135" s="148" t="s">
        <v>512</v>
      </c>
      <c r="H135" s="150" t="s">
        <v>617</v>
      </c>
      <c r="I135" s="149" t="s">
        <v>654</v>
      </c>
      <c r="J135" s="148" t="s">
        <v>39</v>
      </c>
      <c r="K135" s="148" t="s">
        <v>348</v>
      </c>
      <c r="L135" s="150">
        <v>1</v>
      </c>
      <c r="M135" s="143">
        <v>240.35</v>
      </c>
      <c r="N135" s="143">
        <f>L135*M135</f>
        <v>240.35</v>
      </c>
    </row>
    <row r="136" spans="2:14" ht="63.75">
      <c r="B136" s="148" t="s">
        <v>272</v>
      </c>
      <c r="C136" s="149" t="s">
        <v>273</v>
      </c>
      <c r="D136" s="150" t="s">
        <v>39</v>
      </c>
      <c r="E136" s="148" t="s">
        <v>348</v>
      </c>
      <c r="F136" s="143">
        <f>N$139</f>
        <v>273.86113299999994</v>
      </c>
      <c r="G136" s="148" t="s">
        <v>512</v>
      </c>
      <c r="H136" s="150">
        <v>39386</v>
      </c>
      <c r="I136" s="149" t="s">
        <v>655</v>
      </c>
      <c r="J136" s="148" t="s">
        <v>39</v>
      </c>
      <c r="K136" s="148" t="s">
        <v>616</v>
      </c>
      <c r="L136" s="150">
        <v>2</v>
      </c>
      <c r="M136" s="143">
        <v>11.12</v>
      </c>
      <c r="N136" s="143">
        <f>L136*M136</f>
        <v>22.24</v>
      </c>
    </row>
    <row r="137" spans="2:14" ht="63.75">
      <c r="B137" s="148" t="s">
        <v>272</v>
      </c>
      <c r="C137" s="149" t="s">
        <v>273</v>
      </c>
      <c r="D137" s="150" t="s">
        <v>39</v>
      </c>
      <c r="E137" s="148" t="s">
        <v>348</v>
      </c>
      <c r="F137" s="143">
        <f>N$139</f>
        <v>273.86113299999994</v>
      </c>
      <c r="G137" s="148" t="s">
        <v>623</v>
      </c>
      <c r="H137" s="150">
        <v>88247</v>
      </c>
      <c r="I137" s="148" t="s">
        <v>652</v>
      </c>
      <c r="J137" s="148" t="s">
        <v>432</v>
      </c>
      <c r="K137" s="148" t="s">
        <v>616</v>
      </c>
      <c r="L137" s="150">
        <v>0.148</v>
      </c>
      <c r="M137" s="150">
        <v>20.42</v>
      </c>
      <c r="N137" s="143">
        <f>L137*M137</f>
        <v>3.02216</v>
      </c>
    </row>
    <row r="138" spans="2:14" ht="63.75">
      <c r="B138" s="148" t="s">
        <v>272</v>
      </c>
      <c r="C138" s="149" t="s">
        <v>273</v>
      </c>
      <c r="D138" s="150" t="s">
        <v>39</v>
      </c>
      <c r="E138" s="148" t="s">
        <v>348</v>
      </c>
      <c r="F138" s="143">
        <f>N$139</f>
        <v>273.86113299999994</v>
      </c>
      <c r="G138" s="148" t="s">
        <v>623</v>
      </c>
      <c r="H138" s="150">
        <v>88264</v>
      </c>
      <c r="I138" s="148" t="s">
        <v>574</v>
      </c>
      <c r="J138" s="148" t="s">
        <v>432</v>
      </c>
      <c r="K138" s="148" t="s">
        <v>625</v>
      </c>
      <c r="L138" s="150">
        <v>0.3551</v>
      </c>
      <c r="M138" s="150">
        <v>23.23</v>
      </c>
      <c r="N138" s="143">
        <f>L138*M138</f>
        <v>8.248973000000001</v>
      </c>
    </row>
    <row r="139" spans="2:14" ht="15">
      <c r="B139" s="147"/>
      <c r="C139" s="154"/>
      <c r="D139" s="147"/>
      <c r="E139" s="147"/>
      <c r="F139" s="147"/>
      <c r="G139" s="151"/>
      <c r="H139" s="147"/>
      <c r="I139" s="151"/>
      <c r="J139" s="152"/>
      <c r="K139" s="147"/>
      <c r="L139" s="152"/>
      <c r="M139" s="152"/>
      <c r="N139" s="143">
        <f>SUM(N135:N138)</f>
        <v>273.86113299999994</v>
      </c>
    </row>
    <row r="141" spans="2:14" ht="25.5">
      <c r="B141" s="148" t="s">
        <v>280</v>
      </c>
      <c r="C141" s="149" t="s">
        <v>281</v>
      </c>
      <c r="D141" s="150" t="s">
        <v>39</v>
      </c>
      <c r="E141" s="148" t="s">
        <v>348</v>
      </c>
      <c r="F141" s="143">
        <f>N$145</f>
        <v>80.15775000000001</v>
      </c>
      <c r="G141" s="151"/>
      <c r="H141" s="147"/>
      <c r="I141" s="151"/>
      <c r="J141" s="152"/>
      <c r="K141" s="147"/>
      <c r="L141" s="152"/>
      <c r="M141" s="152"/>
      <c r="N141" s="153"/>
    </row>
    <row r="142" spans="2:14" ht="25.5">
      <c r="B142" s="148" t="s">
        <v>280</v>
      </c>
      <c r="C142" s="149" t="s">
        <v>281</v>
      </c>
      <c r="D142" s="150" t="s">
        <v>39</v>
      </c>
      <c r="E142" s="148" t="s">
        <v>348</v>
      </c>
      <c r="F142" s="143">
        <f>N$145</f>
        <v>80.15775000000001</v>
      </c>
      <c r="G142" s="148" t="s">
        <v>512</v>
      </c>
      <c r="H142" s="150"/>
      <c r="I142" s="149" t="s">
        <v>281</v>
      </c>
      <c r="J142" s="148" t="s">
        <v>39</v>
      </c>
      <c r="K142" s="148" t="s">
        <v>348</v>
      </c>
      <c r="L142" s="150">
        <v>1</v>
      </c>
      <c r="M142" s="143">
        <v>69.9</v>
      </c>
      <c r="N142" s="143">
        <f>L142*M142</f>
        <v>69.9</v>
      </c>
    </row>
    <row r="143" spans="2:14" ht="63.75">
      <c r="B143" s="148" t="s">
        <v>280</v>
      </c>
      <c r="C143" s="149" t="s">
        <v>281</v>
      </c>
      <c r="D143" s="150" t="s">
        <v>39</v>
      </c>
      <c r="E143" s="148" t="s">
        <v>348</v>
      </c>
      <c r="F143" s="143">
        <f>N$145</f>
        <v>80.15775000000001</v>
      </c>
      <c r="G143" s="148" t="s">
        <v>623</v>
      </c>
      <c r="H143" s="150">
        <v>88247</v>
      </c>
      <c r="I143" s="148" t="s">
        <v>652</v>
      </c>
      <c r="J143" s="148" t="s">
        <v>432</v>
      </c>
      <c r="K143" s="148" t="s">
        <v>616</v>
      </c>
      <c r="L143" s="150">
        <v>0.235</v>
      </c>
      <c r="M143" s="150">
        <v>20.42</v>
      </c>
      <c r="N143" s="143">
        <f>L143*M143</f>
        <v>4.7987</v>
      </c>
    </row>
    <row r="144" spans="2:14" ht="25.5">
      <c r="B144" s="148" t="s">
        <v>280</v>
      </c>
      <c r="C144" s="149" t="s">
        <v>281</v>
      </c>
      <c r="D144" s="150" t="s">
        <v>39</v>
      </c>
      <c r="E144" s="148" t="s">
        <v>348</v>
      </c>
      <c r="F144" s="143">
        <f>N$145</f>
        <v>80.15775000000001</v>
      </c>
      <c r="G144" s="148" t="s">
        <v>623</v>
      </c>
      <c r="H144" s="150">
        <v>88264</v>
      </c>
      <c r="I144" s="148" t="s">
        <v>574</v>
      </c>
      <c r="J144" s="148" t="s">
        <v>432</v>
      </c>
      <c r="K144" s="148" t="s">
        <v>625</v>
      </c>
      <c r="L144" s="150">
        <v>0.235</v>
      </c>
      <c r="M144" s="150">
        <v>23.23</v>
      </c>
      <c r="N144" s="143">
        <f>L144*M144</f>
        <v>5.4590499999999995</v>
      </c>
    </row>
    <row r="145" spans="2:14" ht="15">
      <c r="B145" s="147"/>
      <c r="C145" s="154"/>
      <c r="D145" s="147"/>
      <c r="E145" s="147"/>
      <c r="F145" s="147"/>
      <c r="G145" s="151"/>
      <c r="H145" s="147"/>
      <c r="I145" s="151"/>
      <c r="J145" s="152"/>
      <c r="K145" s="147"/>
      <c r="L145" s="152"/>
      <c r="M145" s="152"/>
      <c r="N145" s="143">
        <f>SUM(N142:N144)</f>
        <v>80.15775000000001</v>
      </c>
    </row>
    <row r="147" spans="2:14" ht="25.5">
      <c r="B147" s="148" t="s">
        <v>309</v>
      </c>
      <c r="C147" s="149" t="s">
        <v>310</v>
      </c>
      <c r="D147" s="150" t="s">
        <v>39</v>
      </c>
      <c r="E147" s="148" t="s">
        <v>348</v>
      </c>
      <c r="F147" s="143">
        <f>N$151</f>
        <v>510.000535</v>
      </c>
      <c r="G147" s="151"/>
      <c r="H147" s="147"/>
      <c r="I147" s="151"/>
      <c r="J147" s="152"/>
      <c r="K147" s="147"/>
      <c r="L147" s="152"/>
      <c r="M147" s="152"/>
      <c r="N147" s="153"/>
    </row>
    <row r="148" spans="2:14" ht="25.5">
      <c r="B148" s="148" t="s">
        <v>309</v>
      </c>
      <c r="C148" s="149" t="s">
        <v>310</v>
      </c>
      <c r="D148" s="150" t="s">
        <v>39</v>
      </c>
      <c r="E148" s="148" t="s">
        <v>348</v>
      </c>
      <c r="F148" s="143">
        <f>N$151</f>
        <v>510.000535</v>
      </c>
      <c r="G148" s="148" t="s">
        <v>512</v>
      </c>
      <c r="H148" s="150"/>
      <c r="I148" s="156" t="s">
        <v>656</v>
      </c>
      <c r="J148" s="148" t="s">
        <v>39</v>
      </c>
      <c r="K148" s="148" t="s">
        <v>348</v>
      </c>
      <c r="L148" s="150">
        <v>1</v>
      </c>
      <c r="M148" s="143">
        <v>465.22</v>
      </c>
      <c r="N148" s="143">
        <f>L148*M148</f>
        <v>465.22</v>
      </c>
    </row>
    <row r="149" spans="2:14" ht="63.75">
      <c r="B149" s="148" t="s">
        <v>309</v>
      </c>
      <c r="C149" s="149" t="s">
        <v>310</v>
      </c>
      <c r="D149" s="150" t="s">
        <v>39</v>
      </c>
      <c r="E149" s="148" t="s">
        <v>348</v>
      </c>
      <c r="F149" s="143">
        <f>N$151</f>
        <v>510.000535</v>
      </c>
      <c r="G149" s="148" t="s">
        <v>623</v>
      </c>
      <c r="H149" s="150">
        <v>88247</v>
      </c>
      <c r="I149" s="148" t="s">
        <v>652</v>
      </c>
      <c r="J149" s="148" t="s">
        <v>432</v>
      </c>
      <c r="K149" s="148" t="s">
        <v>616</v>
      </c>
      <c r="L149" s="150">
        <v>1.0259</v>
      </c>
      <c r="M149" s="150">
        <v>20.42</v>
      </c>
      <c r="N149" s="143">
        <f>L149*M149</f>
        <v>20.948878000000004</v>
      </c>
    </row>
    <row r="150" spans="2:14" ht="25.5">
      <c r="B150" s="148" t="s">
        <v>309</v>
      </c>
      <c r="C150" s="149" t="s">
        <v>310</v>
      </c>
      <c r="D150" s="150" t="s">
        <v>39</v>
      </c>
      <c r="E150" s="148" t="s">
        <v>348</v>
      </c>
      <c r="F150" s="143">
        <f>N$151</f>
        <v>510.000535</v>
      </c>
      <c r="G150" s="148" t="s">
        <v>623</v>
      </c>
      <c r="H150" s="150">
        <v>88264</v>
      </c>
      <c r="I150" s="148" t="s">
        <v>574</v>
      </c>
      <c r="J150" s="148" t="s">
        <v>432</v>
      </c>
      <c r="K150" s="148" t="s">
        <v>625</v>
      </c>
      <c r="L150" s="150">
        <v>1.0259</v>
      </c>
      <c r="M150" s="150">
        <v>23.23</v>
      </c>
      <c r="N150" s="143">
        <f>L150*M150</f>
        <v>23.831657</v>
      </c>
    </row>
    <row r="151" spans="2:14" ht="15">
      <c r="B151" s="147"/>
      <c r="C151" s="154"/>
      <c r="D151" s="147"/>
      <c r="E151" s="147"/>
      <c r="F151" s="147"/>
      <c r="G151" s="151"/>
      <c r="H151" s="147"/>
      <c r="I151" s="151"/>
      <c r="J151" s="152"/>
      <c r="K151" s="147"/>
      <c r="L151" s="152"/>
      <c r="M151" s="152"/>
      <c r="N151" s="143">
        <f>SUM(N148:N150)</f>
        <v>510.000535</v>
      </c>
    </row>
    <row r="153" spans="2:14" ht="25.5">
      <c r="B153" s="148" t="s">
        <v>302</v>
      </c>
      <c r="C153" s="149" t="s">
        <v>303</v>
      </c>
      <c r="D153" s="150" t="s">
        <v>30</v>
      </c>
      <c r="E153" s="148" t="s">
        <v>348</v>
      </c>
      <c r="F153" s="143">
        <f>N$157</f>
        <v>10.826250000000002</v>
      </c>
      <c r="G153" s="151"/>
      <c r="H153" s="147"/>
      <c r="I153" s="151"/>
      <c r="J153" s="152"/>
      <c r="K153" s="147"/>
      <c r="L153" s="152"/>
      <c r="M153" s="152"/>
      <c r="N153" s="153"/>
    </row>
    <row r="154" spans="2:14" ht="25.5">
      <c r="B154" s="148" t="s">
        <v>302</v>
      </c>
      <c r="C154" s="149" t="s">
        <v>303</v>
      </c>
      <c r="D154" s="150" t="s">
        <v>30</v>
      </c>
      <c r="E154" s="148" t="s">
        <v>348</v>
      </c>
      <c r="F154" s="143">
        <f>N$157</f>
        <v>10.826250000000002</v>
      </c>
      <c r="G154" s="148" t="s">
        <v>512</v>
      </c>
      <c r="H154" s="150"/>
      <c r="I154" s="156" t="s">
        <v>657</v>
      </c>
      <c r="J154" s="148" t="s">
        <v>39</v>
      </c>
      <c r="K154" s="148" t="s">
        <v>348</v>
      </c>
      <c r="L154" s="150">
        <v>1.05</v>
      </c>
      <c r="M154" s="143">
        <v>8.44</v>
      </c>
      <c r="N154" s="143">
        <f>L154*M154</f>
        <v>8.862</v>
      </c>
    </row>
    <row r="155" spans="2:14" ht="63.75">
      <c r="B155" s="148" t="s">
        <v>302</v>
      </c>
      <c r="C155" s="149" t="s">
        <v>303</v>
      </c>
      <c r="D155" s="150" t="s">
        <v>30</v>
      </c>
      <c r="E155" s="148" t="s">
        <v>348</v>
      </c>
      <c r="F155" s="143">
        <f>N$157</f>
        <v>10.826250000000002</v>
      </c>
      <c r="G155" s="148" t="s">
        <v>623</v>
      </c>
      <c r="H155" s="150">
        <v>88247</v>
      </c>
      <c r="I155" s="148" t="s">
        <v>652</v>
      </c>
      <c r="J155" s="148" t="s">
        <v>432</v>
      </c>
      <c r="K155" s="148" t="s">
        <v>616</v>
      </c>
      <c r="L155" s="150">
        <v>0.045</v>
      </c>
      <c r="M155" s="150">
        <v>20.42</v>
      </c>
      <c r="N155" s="143">
        <f>L155*M155</f>
        <v>0.9189</v>
      </c>
    </row>
    <row r="156" spans="2:14" ht="25.5">
      <c r="B156" s="148" t="s">
        <v>302</v>
      </c>
      <c r="C156" s="149" t="s">
        <v>303</v>
      </c>
      <c r="D156" s="150" t="s">
        <v>30</v>
      </c>
      <c r="E156" s="148" t="s">
        <v>348</v>
      </c>
      <c r="F156" s="143">
        <f>N$157</f>
        <v>10.826250000000002</v>
      </c>
      <c r="G156" s="148" t="s">
        <v>623</v>
      </c>
      <c r="H156" s="150">
        <v>88264</v>
      </c>
      <c r="I156" s="148" t="s">
        <v>574</v>
      </c>
      <c r="J156" s="148" t="s">
        <v>432</v>
      </c>
      <c r="K156" s="148" t="s">
        <v>625</v>
      </c>
      <c r="L156" s="150">
        <v>0.045</v>
      </c>
      <c r="M156" s="150">
        <v>23.23</v>
      </c>
      <c r="N156" s="143">
        <f>L156*M156</f>
        <v>1.04535</v>
      </c>
    </row>
    <row r="157" spans="2:14" ht="15">
      <c r="B157" s="147"/>
      <c r="C157" s="154"/>
      <c r="D157" s="147"/>
      <c r="E157" s="147"/>
      <c r="F157" s="147"/>
      <c r="G157" s="151"/>
      <c r="H157" s="147"/>
      <c r="I157" s="151"/>
      <c r="J157" s="152"/>
      <c r="K157" s="147"/>
      <c r="L157" s="152"/>
      <c r="M157" s="152"/>
      <c r="N157" s="143">
        <f>SUM(N154:N156)</f>
        <v>10.826250000000002</v>
      </c>
    </row>
    <row r="159" spans="2:14" ht="25.5">
      <c r="B159" s="148" t="s">
        <v>305</v>
      </c>
      <c r="C159" s="157" t="s">
        <v>306</v>
      </c>
      <c r="D159" s="150" t="s">
        <v>307</v>
      </c>
      <c r="E159" s="148" t="s">
        <v>348</v>
      </c>
      <c r="F159" s="143">
        <f>N$162</f>
        <v>109.125</v>
      </c>
      <c r="G159" s="151"/>
      <c r="H159" s="147"/>
      <c r="I159" s="151"/>
      <c r="J159" s="152"/>
      <c r="K159" s="147"/>
      <c r="L159" s="152"/>
      <c r="M159" s="152"/>
      <c r="N159" s="153"/>
    </row>
    <row r="160" spans="2:14" ht="63.75">
      <c r="B160" s="148" t="s">
        <v>305</v>
      </c>
      <c r="C160" s="157" t="s">
        <v>306</v>
      </c>
      <c r="D160" s="150" t="s">
        <v>307</v>
      </c>
      <c r="E160" s="148" t="s">
        <v>348</v>
      </c>
      <c r="F160" s="143">
        <f>N$162</f>
        <v>109.125</v>
      </c>
      <c r="G160" s="148" t="s">
        <v>623</v>
      </c>
      <c r="H160" s="150">
        <v>88247</v>
      </c>
      <c r="I160" s="148" t="s">
        <v>652</v>
      </c>
      <c r="J160" s="148" t="s">
        <v>432</v>
      </c>
      <c r="K160" s="148" t="s">
        <v>616</v>
      </c>
      <c r="L160" s="150">
        <v>2.5</v>
      </c>
      <c r="M160" s="150">
        <v>20.42</v>
      </c>
      <c r="N160" s="143">
        <f>L160*M160</f>
        <v>51.050000000000004</v>
      </c>
    </row>
    <row r="161" spans="2:14" ht="25.5">
      <c r="B161" s="148" t="s">
        <v>305</v>
      </c>
      <c r="C161" s="157" t="s">
        <v>306</v>
      </c>
      <c r="D161" s="150" t="s">
        <v>307</v>
      </c>
      <c r="E161" s="148" t="s">
        <v>348</v>
      </c>
      <c r="F161" s="143">
        <f>N$162</f>
        <v>109.125</v>
      </c>
      <c r="G161" s="148" t="s">
        <v>623</v>
      </c>
      <c r="H161" s="150">
        <v>88264</v>
      </c>
      <c r="I161" s="148" t="s">
        <v>574</v>
      </c>
      <c r="J161" s="148" t="s">
        <v>432</v>
      </c>
      <c r="K161" s="148" t="s">
        <v>625</v>
      </c>
      <c r="L161" s="150">
        <v>2.5</v>
      </c>
      <c r="M161" s="150">
        <v>23.23</v>
      </c>
      <c r="N161" s="143">
        <f>L161*M161</f>
        <v>58.075</v>
      </c>
    </row>
    <row r="162" spans="2:14" ht="15">
      <c r="B162" s="147"/>
      <c r="C162" s="154"/>
      <c r="D162" s="147"/>
      <c r="E162" s="147"/>
      <c r="F162" s="147"/>
      <c r="G162" s="151"/>
      <c r="H162" s="147"/>
      <c r="I162" s="151"/>
      <c r="J162" s="152"/>
      <c r="K162" s="147"/>
      <c r="L162" s="152"/>
      <c r="M162" s="152"/>
      <c r="N162" s="143">
        <f>SUM(N160:N161)</f>
        <v>109.125</v>
      </c>
    </row>
    <row r="164" spans="2:14" ht="76.5">
      <c r="B164" s="148" t="s">
        <v>291</v>
      </c>
      <c r="C164" s="149" t="s">
        <v>658</v>
      </c>
      <c r="D164" s="150" t="s">
        <v>39</v>
      </c>
      <c r="E164" s="148" t="s">
        <v>616</v>
      </c>
      <c r="F164" s="143">
        <f aca="true" t="shared" si="24" ref="F164:F171">N$172</f>
        <v>93.64755000000001</v>
      </c>
      <c r="G164" s="151"/>
      <c r="H164" s="147"/>
      <c r="I164" s="151"/>
      <c r="J164" s="152"/>
      <c r="K164" s="147"/>
      <c r="L164" s="152"/>
      <c r="M164" s="152"/>
      <c r="N164" s="153"/>
    </row>
    <row r="165" spans="2:14" ht="76.5">
      <c r="B165" s="148" t="s">
        <v>291</v>
      </c>
      <c r="C165" s="149" t="s">
        <v>658</v>
      </c>
      <c r="D165" s="150" t="s">
        <v>39</v>
      </c>
      <c r="E165" s="148" t="s">
        <v>616</v>
      </c>
      <c r="F165" s="143">
        <f t="shared" si="24"/>
        <v>93.64755000000001</v>
      </c>
      <c r="G165" s="148" t="s">
        <v>512</v>
      </c>
      <c r="H165" s="150" t="s">
        <v>617</v>
      </c>
      <c r="I165" s="148" t="s">
        <v>659</v>
      </c>
      <c r="J165" s="148" t="s">
        <v>39</v>
      </c>
      <c r="K165" s="148" t="s">
        <v>617</v>
      </c>
      <c r="L165" s="150">
        <v>1</v>
      </c>
      <c r="M165" s="143">
        <v>37.9</v>
      </c>
      <c r="N165" s="143">
        <f aca="true" t="shared" si="25" ref="N165:N171">L165*M165</f>
        <v>37.9</v>
      </c>
    </row>
    <row r="166" spans="2:14" ht="76.5">
      <c r="B166" s="148" t="s">
        <v>291</v>
      </c>
      <c r="C166" s="149" t="s">
        <v>658</v>
      </c>
      <c r="D166" s="150" t="s">
        <v>39</v>
      </c>
      <c r="E166" s="148" t="s">
        <v>616</v>
      </c>
      <c r="F166" s="143">
        <f t="shared" si="24"/>
        <v>93.64755000000001</v>
      </c>
      <c r="G166" s="148" t="s">
        <v>512</v>
      </c>
      <c r="H166" s="150" t="s">
        <v>617</v>
      </c>
      <c r="I166" s="148" t="s">
        <v>636</v>
      </c>
      <c r="J166" s="148" t="s">
        <v>39</v>
      </c>
      <c r="K166" s="148" t="s">
        <v>617</v>
      </c>
      <c r="L166" s="150">
        <v>4</v>
      </c>
      <c r="M166" s="143">
        <v>1.76</v>
      </c>
      <c r="N166" s="143">
        <f t="shared" si="25"/>
        <v>7.04</v>
      </c>
    </row>
    <row r="167" spans="2:14" ht="76.5">
      <c r="B167" s="148" t="s">
        <v>291</v>
      </c>
      <c r="C167" s="149" t="s">
        <v>658</v>
      </c>
      <c r="D167" s="150" t="s">
        <v>39</v>
      </c>
      <c r="E167" s="148" t="s">
        <v>616</v>
      </c>
      <c r="F167" s="143">
        <f t="shared" si="24"/>
        <v>93.64755000000001</v>
      </c>
      <c r="G167" s="148" t="s">
        <v>512</v>
      </c>
      <c r="H167" s="150"/>
      <c r="I167" s="148" t="s">
        <v>630</v>
      </c>
      <c r="J167" s="148" t="s">
        <v>39</v>
      </c>
      <c r="K167" s="148" t="s">
        <v>617</v>
      </c>
      <c r="L167" s="150">
        <v>16.8</v>
      </c>
      <c r="M167" s="143">
        <v>0.53</v>
      </c>
      <c r="N167" s="143">
        <f t="shared" si="25"/>
        <v>8.904000000000002</v>
      </c>
    </row>
    <row r="168" spans="2:14" ht="76.5">
      <c r="B168" s="148" t="s">
        <v>291</v>
      </c>
      <c r="C168" s="149" t="s">
        <v>658</v>
      </c>
      <c r="D168" s="150" t="s">
        <v>39</v>
      </c>
      <c r="E168" s="148" t="s">
        <v>616</v>
      </c>
      <c r="F168" s="143">
        <f t="shared" si="24"/>
        <v>93.64755000000001</v>
      </c>
      <c r="G168" s="148" t="s">
        <v>512</v>
      </c>
      <c r="H168" s="150"/>
      <c r="I168" s="148" t="s">
        <v>631</v>
      </c>
      <c r="J168" s="148" t="s">
        <v>39</v>
      </c>
      <c r="K168" s="148" t="s">
        <v>617</v>
      </c>
      <c r="L168" s="150">
        <v>16.8</v>
      </c>
      <c r="M168" s="143">
        <v>0.8</v>
      </c>
      <c r="N168" s="143">
        <f t="shared" si="25"/>
        <v>13.440000000000001</v>
      </c>
    </row>
    <row r="169" spans="2:14" ht="76.5">
      <c r="B169" s="148" t="s">
        <v>291</v>
      </c>
      <c r="C169" s="149" t="s">
        <v>658</v>
      </c>
      <c r="D169" s="150" t="s">
        <v>39</v>
      </c>
      <c r="E169" s="148" t="s">
        <v>616</v>
      </c>
      <c r="F169" s="143">
        <f t="shared" si="24"/>
        <v>93.64755000000001</v>
      </c>
      <c r="G169" s="148" t="s">
        <v>512</v>
      </c>
      <c r="H169" s="150"/>
      <c r="I169" s="148" t="s">
        <v>632</v>
      </c>
      <c r="J169" s="148" t="s">
        <v>39</v>
      </c>
      <c r="K169" s="148" t="s">
        <v>617</v>
      </c>
      <c r="L169" s="150">
        <v>16.8</v>
      </c>
      <c r="M169" s="143">
        <v>0.2</v>
      </c>
      <c r="N169" s="143">
        <f t="shared" si="25"/>
        <v>3.3600000000000003</v>
      </c>
    </row>
    <row r="170" spans="2:14" ht="76.5">
      <c r="B170" s="148" t="s">
        <v>291</v>
      </c>
      <c r="C170" s="149" t="s">
        <v>658</v>
      </c>
      <c r="D170" s="150" t="s">
        <v>39</v>
      </c>
      <c r="E170" s="148" t="s">
        <v>616</v>
      </c>
      <c r="F170" s="143">
        <f t="shared" si="24"/>
        <v>93.64755000000001</v>
      </c>
      <c r="G170" s="148" t="s">
        <v>623</v>
      </c>
      <c r="H170" s="150">
        <v>88247</v>
      </c>
      <c r="I170" s="148" t="s">
        <v>624</v>
      </c>
      <c r="J170" s="148" t="s">
        <v>432</v>
      </c>
      <c r="K170" s="148" t="s">
        <v>625</v>
      </c>
      <c r="L170" s="150">
        <v>0.527</v>
      </c>
      <c r="M170" s="150">
        <v>20.42</v>
      </c>
      <c r="N170" s="143">
        <f t="shared" si="25"/>
        <v>10.76134</v>
      </c>
    </row>
    <row r="171" spans="2:14" ht="76.5">
      <c r="B171" s="148" t="s">
        <v>291</v>
      </c>
      <c r="C171" s="149" t="s">
        <v>658</v>
      </c>
      <c r="D171" s="150" t="s">
        <v>39</v>
      </c>
      <c r="E171" s="148" t="s">
        <v>616</v>
      </c>
      <c r="F171" s="143">
        <f t="shared" si="24"/>
        <v>93.64755000000001</v>
      </c>
      <c r="G171" s="148" t="s">
        <v>623</v>
      </c>
      <c r="H171" s="150">
        <v>88264</v>
      </c>
      <c r="I171" s="148" t="s">
        <v>574</v>
      </c>
      <c r="J171" s="148" t="s">
        <v>432</v>
      </c>
      <c r="K171" s="148" t="s">
        <v>625</v>
      </c>
      <c r="L171" s="150">
        <v>0.527</v>
      </c>
      <c r="M171" s="150">
        <v>23.23</v>
      </c>
      <c r="N171" s="143">
        <f t="shared" si="25"/>
        <v>12.24221</v>
      </c>
    </row>
    <row r="172" spans="2:14" ht="15">
      <c r="B172" s="147"/>
      <c r="C172" s="154"/>
      <c r="D172" s="147"/>
      <c r="E172" s="147"/>
      <c r="F172" s="147"/>
      <c r="G172" s="151"/>
      <c r="H172" s="147"/>
      <c r="I172" s="151"/>
      <c r="J172" s="152"/>
      <c r="K172" s="147"/>
      <c r="L172" s="152"/>
      <c r="M172" s="152"/>
      <c r="N172" s="143">
        <f>SUM(N165:N171)</f>
        <v>93.64755000000001</v>
      </c>
    </row>
    <row r="174" spans="2:14" ht="25.5">
      <c r="B174" s="148" t="s">
        <v>660</v>
      </c>
      <c r="C174" s="158" t="s">
        <v>661</v>
      </c>
      <c r="D174" s="159" t="s">
        <v>39</v>
      </c>
      <c r="E174" s="160" t="s">
        <v>348</v>
      </c>
      <c r="F174" s="161">
        <f>N$178</f>
        <v>159.76773000000003</v>
      </c>
      <c r="G174" s="151"/>
      <c r="H174" s="147"/>
      <c r="I174" s="151"/>
      <c r="J174" s="152"/>
      <c r="K174" s="147"/>
      <c r="L174" s="152"/>
      <c r="M174" s="152"/>
      <c r="N174" s="153"/>
    </row>
    <row r="175" spans="2:14" ht="63.75">
      <c r="B175" s="148" t="s">
        <v>660</v>
      </c>
      <c r="C175" s="158" t="s">
        <v>661</v>
      </c>
      <c r="D175" s="159" t="s">
        <v>39</v>
      </c>
      <c r="E175" s="160" t="s">
        <v>348</v>
      </c>
      <c r="F175" s="161">
        <f>N$178</f>
        <v>159.76773000000003</v>
      </c>
      <c r="G175" s="160" t="s">
        <v>541</v>
      </c>
      <c r="H175" s="159">
        <v>91677</v>
      </c>
      <c r="I175" s="160" t="s">
        <v>662</v>
      </c>
      <c r="J175" s="160" t="s">
        <v>432</v>
      </c>
      <c r="K175" s="160" t="s">
        <v>616</v>
      </c>
      <c r="L175" s="159">
        <v>0</v>
      </c>
      <c r="M175" s="161">
        <v>97.75</v>
      </c>
      <c r="N175" s="161">
        <f>L175*M175</f>
        <v>0</v>
      </c>
    </row>
    <row r="176" spans="2:14" ht="63.75">
      <c r="B176" s="148" t="s">
        <v>660</v>
      </c>
      <c r="C176" s="158" t="s">
        <v>661</v>
      </c>
      <c r="D176" s="159" t="s">
        <v>39</v>
      </c>
      <c r="E176" s="160" t="s">
        <v>348</v>
      </c>
      <c r="F176" s="161">
        <f>N$178</f>
        <v>159.76773000000003</v>
      </c>
      <c r="G176" s="160" t="s">
        <v>623</v>
      </c>
      <c r="H176" s="159">
        <v>88247</v>
      </c>
      <c r="I176" s="160" t="s">
        <v>652</v>
      </c>
      <c r="J176" s="160" t="s">
        <v>432</v>
      </c>
      <c r="K176" s="160" t="s">
        <v>616</v>
      </c>
      <c r="L176" s="159">
        <v>3.6602</v>
      </c>
      <c r="M176" s="150">
        <v>20.42</v>
      </c>
      <c r="N176" s="161">
        <f>L176*M176</f>
        <v>74.74128400000001</v>
      </c>
    </row>
    <row r="177" spans="2:14" ht="25.5">
      <c r="B177" s="148" t="s">
        <v>660</v>
      </c>
      <c r="C177" s="158" t="s">
        <v>661</v>
      </c>
      <c r="D177" s="159" t="s">
        <v>39</v>
      </c>
      <c r="E177" s="160" t="s">
        <v>348</v>
      </c>
      <c r="F177" s="161">
        <f>N$178</f>
        <v>159.76773000000003</v>
      </c>
      <c r="G177" s="160" t="s">
        <v>623</v>
      </c>
      <c r="H177" s="159">
        <v>88264</v>
      </c>
      <c r="I177" s="160" t="s">
        <v>574</v>
      </c>
      <c r="J177" s="160" t="s">
        <v>432</v>
      </c>
      <c r="K177" s="160" t="s">
        <v>625</v>
      </c>
      <c r="L177" s="159">
        <v>3.6602</v>
      </c>
      <c r="M177" s="150">
        <v>23.23</v>
      </c>
      <c r="N177" s="161">
        <f>L177*M177</f>
        <v>85.026446</v>
      </c>
    </row>
    <row r="178" spans="2:14" ht="15">
      <c r="B178" s="147"/>
      <c r="C178" s="154"/>
      <c r="D178" s="147"/>
      <c r="E178" s="147"/>
      <c r="F178" s="147"/>
      <c r="G178" s="151"/>
      <c r="H178" s="147"/>
      <c r="I178" s="151"/>
      <c r="J178" s="152"/>
      <c r="K178" s="147"/>
      <c r="L178" s="152"/>
      <c r="M178" s="152"/>
      <c r="N178" s="161">
        <f>SUM(N175:N177)</f>
        <v>159.76773000000003</v>
      </c>
    </row>
    <row r="180" spans="2:14" ht="38.25">
      <c r="B180" s="148" t="s">
        <v>663</v>
      </c>
      <c r="C180" s="158" t="s">
        <v>664</v>
      </c>
      <c r="D180" s="150" t="s">
        <v>39</v>
      </c>
      <c r="E180" s="148" t="s">
        <v>348</v>
      </c>
      <c r="F180" s="143">
        <f>N$185</f>
        <v>43.01858</v>
      </c>
      <c r="G180" s="151"/>
      <c r="H180" s="147"/>
      <c r="I180" s="151"/>
      <c r="J180" s="152"/>
      <c r="K180" s="147"/>
      <c r="L180" s="152"/>
      <c r="M180" s="152"/>
      <c r="N180" s="153"/>
    </row>
    <row r="181" spans="2:14" ht="38.25">
      <c r="B181" s="148" t="s">
        <v>663</v>
      </c>
      <c r="C181" s="158" t="s">
        <v>664</v>
      </c>
      <c r="D181" s="150" t="s">
        <v>39</v>
      </c>
      <c r="E181" s="148" t="s">
        <v>348</v>
      </c>
      <c r="F181" s="143">
        <f>N$185</f>
        <v>43.01858</v>
      </c>
      <c r="G181" s="148" t="s">
        <v>512</v>
      </c>
      <c r="H181" s="150"/>
      <c r="I181" s="160" t="s">
        <v>665</v>
      </c>
      <c r="J181" s="148" t="s">
        <v>39</v>
      </c>
      <c r="K181" s="148" t="s">
        <v>348</v>
      </c>
      <c r="L181" s="150">
        <v>1</v>
      </c>
      <c r="M181" s="143">
        <v>31.9</v>
      </c>
      <c r="N181" s="143">
        <f>L181*M181</f>
        <v>31.9</v>
      </c>
    </row>
    <row r="182" spans="2:14" ht="63.75">
      <c r="B182" s="148" t="s">
        <v>663</v>
      </c>
      <c r="C182" s="158" t="s">
        <v>664</v>
      </c>
      <c r="D182" s="150" t="s">
        <v>39</v>
      </c>
      <c r="E182" s="148" t="s">
        <v>348</v>
      </c>
      <c r="F182" s="143">
        <f>N$185</f>
        <v>43.01858</v>
      </c>
      <c r="G182" s="148" t="s">
        <v>512</v>
      </c>
      <c r="H182" s="150">
        <v>1576</v>
      </c>
      <c r="I182" s="160" t="s">
        <v>666</v>
      </c>
      <c r="J182" s="148" t="s">
        <v>39</v>
      </c>
      <c r="K182" s="148" t="s">
        <v>616</v>
      </c>
      <c r="L182" s="150">
        <v>1</v>
      </c>
      <c r="M182" s="143">
        <v>2.86</v>
      </c>
      <c r="N182" s="143">
        <f>L182*M182</f>
        <v>2.86</v>
      </c>
    </row>
    <row r="183" spans="2:14" ht="63.75">
      <c r="B183" s="148" t="s">
        <v>663</v>
      </c>
      <c r="C183" s="158" t="s">
        <v>664</v>
      </c>
      <c r="D183" s="150" t="s">
        <v>39</v>
      </c>
      <c r="E183" s="148" t="s">
        <v>348</v>
      </c>
      <c r="F183" s="143">
        <f>N$185</f>
        <v>43.01858</v>
      </c>
      <c r="G183" s="148" t="s">
        <v>623</v>
      </c>
      <c r="H183" s="150">
        <v>88247</v>
      </c>
      <c r="I183" s="148" t="s">
        <v>652</v>
      </c>
      <c r="J183" s="148" t="s">
        <v>432</v>
      </c>
      <c r="K183" s="148" t="s">
        <v>616</v>
      </c>
      <c r="L183" s="150">
        <v>0.1892</v>
      </c>
      <c r="M183" s="150">
        <v>20.42</v>
      </c>
      <c r="N183" s="143">
        <f>L183*M183</f>
        <v>3.8634640000000005</v>
      </c>
    </row>
    <row r="184" spans="2:14" ht="38.25">
      <c r="B184" s="148" t="s">
        <v>663</v>
      </c>
      <c r="C184" s="158" t="s">
        <v>664</v>
      </c>
      <c r="D184" s="150" t="s">
        <v>39</v>
      </c>
      <c r="E184" s="148" t="s">
        <v>348</v>
      </c>
      <c r="F184" s="143">
        <f>N$185</f>
        <v>43.01858</v>
      </c>
      <c r="G184" s="148" t="s">
        <v>623</v>
      </c>
      <c r="H184" s="150">
        <v>88264</v>
      </c>
      <c r="I184" s="148" t="s">
        <v>574</v>
      </c>
      <c r="J184" s="148" t="s">
        <v>432</v>
      </c>
      <c r="K184" s="148" t="s">
        <v>625</v>
      </c>
      <c r="L184" s="150">
        <v>0.1892</v>
      </c>
      <c r="M184" s="150">
        <v>23.23</v>
      </c>
      <c r="N184" s="143">
        <f>L184*M184</f>
        <v>4.395116</v>
      </c>
    </row>
    <row r="185" spans="2:14" ht="15">
      <c r="B185" s="147"/>
      <c r="C185" s="154"/>
      <c r="D185" s="147"/>
      <c r="E185" s="147"/>
      <c r="F185" s="147"/>
      <c r="G185" s="151"/>
      <c r="H185" s="147"/>
      <c r="I185" s="151"/>
      <c r="J185" s="152"/>
      <c r="K185" s="147"/>
      <c r="L185" s="152"/>
      <c r="M185" s="152"/>
      <c r="N185" s="143">
        <f>SUM(N181:N184)</f>
        <v>43.01858</v>
      </c>
    </row>
    <row r="187" spans="2:14" ht="76.5">
      <c r="B187" s="148" t="s">
        <v>163</v>
      </c>
      <c r="C187" s="149" t="s">
        <v>164</v>
      </c>
      <c r="D187" s="150" t="s">
        <v>39</v>
      </c>
      <c r="E187" s="148" t="s">
        <v>348</v>
      </c>
      <c r="F187" s="143">
        <f>N$173</f>
        <v>0</v>
      </c>
      <c r="G187" s="151"/>
      <c r="H187" s="147"/>
      <c r="I187" s="151"/>
      <c r="J187" s="152"/>
      <c r="K187" s="147"/>
      <c r="L187" s="152"/>
      <c r="M187" s="152"/>
      <c r="N187" s="153"/>
    </row>
    <row r="188" spans="2:14" ht="76.5">
      <c r="B188" s="148" t="s">
        <v>163</v>
      </c>
      <c r="C188" s="149" t="s">
        <v>667</v>
      </c>
      <c r="D188" s="150" t="s">
        <v>39</v>
      </c>
      <c r="E188" s="148" t="s">
        <v>348</v>
      </c>
      <c r="F188" s="143">
        <f>N$173</f>
        <v>0</v>
      </c>
      <c r="G188" s="148" t="s">
        <v>512</v>
      </c>
      <c r="H188" s="150">
        <v>39756</v>
      </c>
      <c r="I188" s="149" t="s">
        <v>668</v>
      </c>
      <c r="J188" s="148" t="s">
        <v>39</v>
      </c>
      <c r="K188" s="148" t="s">
        <v>348</v>
      </c>
      <c r="L188" s="150">
        <v>1</v>
      </c>
      <c r="M188" s="143">
        <v>3074.14</v>
      </c>
      <c r="N188" s="143">
        <f>L188*M188</f>
        <v>3074.14</v>
      </c>
    </row>
    <row r="189" spans="2:14" ht="89.25">
      <c r="B189" s="148" t="s">
        <v>163</v>
      </c>
      <c r="C189" s="149" t="s">
        <v>667</v>
      </c>
      <c r="D189" s="150" t="s">
        <v>39</v>
      </c>
      <c r="E189" s="148" t="s">
        <v>348</v>
      </c>
      <c r="F189" s="143">
        <f>N$173</f>
        <v>0</v>
      </c>
      <c r="G189" s="148" t="s">
        <v>623</v>
      </c>
      <c r="H189" s="150">
        <v>87367</v>
      </c>
      <c r="I189" s="149" t="s">
        <v>669</v>
      </c>
      <c r="J189" s="148" t="s">
        <v>22</v>
      </c>
      <c r="K189" s="148" t="s">
        <v>616</v>
      </c>
      <c r="L189" s="150">
        <v>0.0194</v>
      </c>
      <c r="M189" s="143">
        <v>569.75</v>
      </c>
      <c r="N189" s="143">
        <f>L189*M189</f>
        <v>11.05315</v>
      </c>
    </row>
    <row r="190" spans="2:14" ht="76.5">
      <c r="B190" s="148" t="s">
        <v>163</v>
      </c>
      <c r="C190" s="149" t="s">
        <v>667</v>
      </c>
      <c r="D190" s="150" t="s">
        <v>39</v>
      </c>
      <c r="E190" s="148" t="s">
        <v>348</v>
      </c>
      <c r="F190" s="143">
        <f>N$173</f>
        <v>0</v>
      </c>
      <c r="G190" s="148" t="s">
        <v>623</v>
      </c>
      <c r="H190" s="150">
        <v>88247</v>
      </c>
      <c r="I190" s="148" t="s">
        <v>652</v>
      </c>
      <c r="J190" s="148" t="s">
        <v>432</v>
      </c>
      <c r="K190" s="148" t="s">
        <v>616</v>
      </c>
      <c r="L190" s="150">
        <v>0.6342</v>
      </c>
      <c r="M190" s="150">
        <v>20.42</v>
      </c>
      <c r="N190" s="143">
        <f>L190*M190</f>
        <v>12.950364</v>
      </c>
    </row>
    <row r="191" spans="2:14" ht="76.5">
      <c r="B191" s="148" t="s">
        <v>163</v>
      </c>
      <c r="C191" s="149" t="s">
        <v>667</v>
      </c>
      <c r="D191" s="150" t="s">
        <v>39</v>
      </c>
      <c r="E191" s="148" t="s">
        <v>348</v>
      </c>
      <c r="F191" s="143">
        <f>N$173</f>
        <v>0</v>
      </c>
      <c r="G191" s="148" t="s">
        <v>623</v>
      </c>
      <c r="H191" s="150">
        <v>88264</v>
      </c>
      <c r="I191" s="148" t="s">
        <v>574</v>
      </c>
      <c r="J191" s="148" t="s">
        <v>432</v>
      </c>
      <c r="K191" s="148" t="s">
        <v>625</v>
      </c>
      <c r="L191" s="150">
        <v>0.6342</v>
      </c>
      <c r="M191" s="150">
        <v>23.23</v>
      </c>
      <c r="N191" s="143">
        <f>L191*M191</f>
        <v>14.732466</v>
      </c>
    </row>
    <row r="192" spans="2:14" ht="15">
      <c r="B192" s="147"/>
      <c r="C192" s="154"/>
      <c r="D192" s="147"/>
      <c r="E192" s="147"/>
      <c r="F192" s="147"/>
      <c r="G192" s="151"/>
      <c r="H192" s="147"/>
      <c r="I192" s="151"/>
      <c r="J192" s="152"/>
      <c r="K192" s="147"/>
      <c r="L192" s="152"/>
      <c r="M192" s="152"/>
      <c r="N192" s="143">
        <f>SUM(N188:N191)</f>
        <v>3112.87598</v>
      </c>
    </row>
    <row r="194" spans="2:14" ht="89.25">
      <c r="B194" s="148" t="s">
        <v>190</v>
      </c>
      <c r="C194" s="149" t="s">
        <v>670</v>
      </c>
      <c r="D194" s="150" t="s">
        <v>30</v>
      </c>
      <c r="E194" s="148" t="s">
        <v>616</v>
      </c>
      <c r="F194" s="143">
        <f aca="true" t="shared" si="26" ref="F194:F200">N$182</f>
        <v>2.86</v>
      </c>
      <c r="G194" s="151"/>
      <c r="H194" s="147"/>
      <c r="I194" s="151"/>
      <c r="J194" s="152"/>
      <c r="K194" s="147"/>
      <c r="L194" s="152"/>
      <c r="M194" s="152"/>
      <c r="N194" s="153"/>
    </row>
    <row r="195" spans="2:14" ht="89.25">
      <c r="B195" s="148" t="s">
        <v>190</v>
      </c>
      <c r="C195" s="149" t="s">
        <v>670</v>
      </c>
      <c r="D195" s="150" t="s">
        <v>30</v>
      </c>
      <c r="E195" s="148" t="s">
        <v>616</v>
      </c>
      <c r="F195" s="143">
        <f t="shared" si="26"/>
        <v>2.86</v>
      </c>
      <c r="G195" s="148" t="s">
        <v>512</v>
      </c>
      <c r="H195" s="150" t="s">
        <v>617</v>
      </c>
      <c r="I195" s="148" t="s">
        <v>671</v>
      </c>
      <c r="J195" s="148" t="s">
        <v>30</v>
      </c>
      <c r="K195" s="148" t="s">
        <v>617</v>
      </c>
      <c r="L195" s="150">
        <v>0.936</v>
      </c>
      <c r="M195" s="143">
        <v>27.63</v>
      </c>
      <c r="N195" s="143">
        <f aca="true" t="shared" si="27" ref="N195:N200">L195*M195</f>
        <v>25.86168</v>
      </c>
    </row>
    <row r="196" spans="2:14" ht="89.25">
      <c r="B196" s="148" t="s">
        <v>190</v>
      </c>
      <c r="C196" s="149" t="s">
        <v>670</v>
      </c>
      <c r="D196" s="150" t="s">
        <v>30</v>
      </c>
      <c r="E196" s="148" t="s">
        <v>616</v>
      </c>
      <c r="F196" s="143">
        <f t="shared" si="26"/>
        <v>2.86</v>
      </c>
      <c r="G196" s="148" t="s">
        <v>541</v>
      </c>
      <c r="H196" s="150" t="s">
        <v>619</v>
      </c>
      <c r="I196" s="148" t="s">
        <v>672</v>
      </c>
      <c r="J196" s="148" t="s">
        <v>39</v>
      </c>
      <c r="K196" s="148" t="s">
        <v>617</v>
      </c>
      <c r="L196" s="150">
        <v>0.333</v>
      </c>
      <c r="M196" s="143">
        <f>F203</f>
        <v>3112.87598</v>
      </c>
      <c r="N196" s="143">
        <f t="shared" si="27"/>
        <v>1036.58770134</v>
      </c>
    </row>
    <row r="197" spans="2:14" ht="89.25">
      <c r="B197" s="148" t="s">
        <v>190</v>
      </c>
      <c r="C197" s="149" t="s">
        <v>670</v>
      </c>
      <c r="D197" s="150" t="s">
        <v>30</v>
      </c>
      <c r="E197" s="148" t="s">
        <v>616</v>
      </c>
      <c r="F197" s="143">
        <f t="shared" si="26"/>
        <v>2.86</v>
      </c>
      <c r="G197" s="148" t="s">
        <v>512</v>
      </c>
      <c r="H197" s="150">
        <v>39029</v>
      </c>
      <c r="I197" s="148" t="s">
        <v>621</v>
      </c>
      <c r="J197" s="148" t="s">
        <v>30</v>
      </c>
      <c r="K197" s="148" t="s">
        <v>617</v>
      </c>
      <c r="L197" s="150">
        <v>1</v>
      </c>
      <c r="M197" s="143">
        <v>25.78</v>
      </c>
      <c r="N197" s="143">
        <f t="shared" si="27"/>
        <v>25.78</v>
      </c>
    </row>
    <row r="198" spans="2:14" ht="89.25">
      <c r="B198" s="148" t="s">
        <v>190</v>
      </c>
      <c r="C198" s="149" t="s">
        <v>670</v>
      </c>
      <c r="D198" s="150" t="s">
        <v>30</v>
      </c>
      <c r="E198" s="148" t="s">
        <v>616</v>
      </c>
      <c r="F198" s="143">
        <f t="shared" si="26"/>
        <v>2.86</v>
      </c>
      <c r="G198" s="148" t="s">
        <v>512</v>
      </c>
      <c r="H198" s="150"/>
      <c r="I198" s="148" t="s">
        <v>622</v>
      </c>
      <c r="J198" s="148" t="s">
        <v>30</v>
      </c>
      <c r="K198" s="148" t="s">
        <v>617</v>
      </c>
      <c r="L198" s="150">
        <v>0</v>
      </c>
      <c r="M198" s="143">
        <v>0</v>
      </c>
      <c r="N198" s="143">
        <f t="shared" si="27"/>
        <v>0</v>
      </c>
    </row>
    <row r="199" spans="2:14" ht="89.25">
      <c r="B199" s="148" t="s">
        <v>190</v>
      </c>
      <c r="C199" s="149" t="s">
        <v>670</v>
      </c>
      <c r="D199" s="150" t="s">
        <v>30</v>
      </c>
      <c r="E199" s="148" t="s">
        <v>616</v>
      </c>
      <c r="F199" s="143">
        <f t="shared" si="26"/>
        <v>2.86</v>
      </c>
      <c r="G199" s="148" t="s">
        <v>623</v>
      </c>
      <c r="H199" s="150">
        <v>88247</v>
      </c>
      <c r="I199" s="148" t="s">
        <v>624</v>
      </c>
      <c r="J199" s="148" t="s">
        <v>432</v>
      </c>
      <c r="K199" s="148" t="s">
        <v>625</v>
      </c>
      <c r="L199" s="150">
        <v>0.264</v>
      </c>
      <c r="M199" s="150">
        <v>20.42</v>
      </c>
      <c r="N199" s="143">
        <f t="shared" si="27"/>
        <v>5.390880000000001</v>
      </c>
    </row>
    <row r="200" spans="2:14" ht="89.25">
      <c r="B200" s="148" t="s">
        <v>190</v>
      </c>
      <c r="C200" s="149" t="s">
        <v>670</v>
      </c>
      <c r="D200" s="150" t="s">
        <v>30</v>
      </c>
      <c r="E200" s="148" t="s">
        <v>616</v>
      </c>
      <c r="F200" s="143">
        <f t="shared" si="26"/>
        <v>2.86</v>
      </c>
      <c r="G200" s="148" t="s">
        <v>623</v>
      </c>
      <c r="H200" s="150">
        <v>88264</v>
      </c>
      <c r="I200" s="148" t="s">
        <v>574</v>
      </c>
      <c r="J200" s="148" t="s">
        <v>432</v>
      </c>
      <c r="K200" s="148" t="s">
        <v>625</v>
      </c>
      <c r="L200" s="150">
        <v>0.264</v>
      </c>
      <c r="M200" s="150">
        <v>23.23</v>
      </c>
      <c r="N200" s="143">
        <f t="shared" si="27"/>
        <v>6.132720000000001</v>
      </c>
    </row>
    <row r="201" spans="2:14" ht="15">
      <c r="B201" s="147"/>
      <c r="C201" s="154"/>
      <c r="D201" s="147"/>
      <c r="E201" s="147"/>
      <c r="F201" s="147"/>
      <c r="G201" s="151"/>
      <c r="H201" s="147"/>
      <c r="I201" s="151"/>
      <c r="J201" s="152"/>
      <c r="K201" s="147"/>
      <c r="L201" s="152"/>
      <c r="M201" s="152"/>
      <c r="N201" s="143">
        <f>SUM(N195:N200)</f>
        <v>1099.75298134</v>
      </c>
    </row>
    <row r="202" spans="2:14" ht="15">
      <c r="B202" s="147"/>
      <c r="C202" s="154"/>
      <c r="D202" s="147"/>
      <c r="E202" s="147"/>
      <c r="F202" s="147"/>
      <c r="G202" s="151"/>
      <c r="H202" s="147"/>
      <c r="I202" s="151"/>
      <c r="J202" s="152"/>
      <c r="K202" s="147"/>
      <c r="L202" s="152"/>
      <c r="M202" s="152"/>
      <c r="N202" s="143"/>
    </row>
    <row r="203" spans="2:14" ht="76.5">
      <c r="B203" s="148" t="s">
        <v>626</v>
      </c>
      <c r="C203" s="149" t="s">
        <v>672</v>
      </c>
      <c r="D203" s="150" t="s">
        <v>39</v>
      </c>
      <c r="E203" s="148" t="s">
        <v>616</v>
      </c>
      <c r="F203" s="143">
        <f aca="true" t="shared" si="28" ref="F203:F210">N$192</f>
        <v>3112.87598</v>
      </c>
      <c r="G203" s="151"/>
      <c r="H203" s="147"/>
      <c r="I203" s="151"/>
      <c r="J203" s="152"/>
      <c r="K203" s="147"/>
      <c r="L203" s="152"/>
      <c r="M203" s="152"/>
      <c r="N203" s="153"/>
    </row>
    <row r="204" spans="2:14" ht="89.25">
      <c r="B204" s="148" t="s">
        <v>626</v>
      </c>
      <c r="C204" s="149" t="s">
        <v>672</v>
      </c>
      <c r="D204" s="150" t="s">
        <v>39</v>
      </c>
      <c r="E204" s="148" t="s">
        <v>616</v>
      </c>
      <c r="F204" s="143">
        <f t="shared" si="28"/>
        <v>3112.87598</v>
      </c>
      <c r="G204" s="148" t="s">
        <v>512</v>
      </c>
      <c r="H204" s="150" t="s">
        <v>617</v>
      </c>
      <c r="I204" s="148" t="s">
        <v>673</v>
      </c>
      <c r="J204" s="148" t="s">
        <v>39</v>
      </c>
      <c r="K204" s="148" t="s">
        <v>617</v>
      </c>
      <c r="L204" s="150">
        <v>1</v>
      </c>
      <c r="M204" s="143">
        <v>6.59</v>
      </c>
      <c r="N204" s="143">
        <f aca="true" t="shared" si="29" ref="N204:N210">L204*M204</f>
        <v>6.59</v>
      </c>
    </row>
    <row r="205" spans="2:14" ht="76.5">
      <c r="B205" s="148" t="s">
        <v>626</v>
      </c>
      <c r="C205" s="149" t="s">
        <v>672</v>
      </c>
      <c r="D205" s="150" t="s">
        <v>39</v>
      </c>
      <c r="E205" s="148" t="s">
        <v>616</v>
      </c>
      <c r="F205" s="143">
        <f t="shared" si="28"/>
        <v>3112.87598</v>
      </c>
      <c r="G205" s="148" t="s">
        <v>512</v>
      </c>
      <c r="H205" s="150" t="s">
        <v>617</v>
      </c>
      <c r="I205" s="148" t="s">
        <v>629</v>
      </c>
      <c r="J205" s="148" t="s">
        <v>39</v>
      </c>
      <c r="K205" s="148" t="s">
        <v>617</v>
      </c>
      <c r="L205" s="150">
        <v>4</v>
      </c>
      <c r="M205" s="143">
        <v>1.76</v>
      </c>
      <c r="N205" s="143">
        <f t="shared" si="29"/>
        <v>7.04</v>
      </c>
    </row>
    <row r="206" spans="2:14" ht="76.5">
      <c r="B206" s="148" t="s">
        <v>626</v>
      </c>
      <c r="C206" s="149" t="s">
        <v>672</v>
      </c>
      <c r="D206" s="150" t="s">
        <v>39</v>
      </c>
      <c r="E206" s="148" t="s">
        <v>616</v>
      </c>
      <c r="F206" s="143">
        <f t="shared" si="28"/>
        <v>3112.87598</v>
      </c>
      <c r="G206" s="148" t="s">
        <v>512</v>
      </c>
      <c r="H206" s="150"/>
      <c r="I206" s="148" t="s">
        <v>630</v>
      </c>
      <c r="J206" s="148" t="s">
        <v>39</v>
      </c>
      <c r="K206" s="148" t="s">
        <v>617</v>
      </c>
      <c r="L206" s="150">
        <v>16.8</v>
      </c>
      <c r="M206" s="143">
        <v>0.53</v>
      </c>
      <c r="N206" s="143">
        <f t="shared" si="29"/>
        <v>8.904000000000002</v>
      </c>
    </row>
    <row r="207" spans="2:14" ht="76.5">
      <c r="B207" s="148" t="s">
        <v>626</v>
      </c>
      <c r="C207" s="149" t="s">
        <v>672</v>
      </c>
      <c r="D207" s="150" t="s">
        <v>39</v>
      </c>
      <c r="E207" s="148" t="s">
        <v>616</v>
      </c>
      <c r="F207" s="143">
        <f t="shared" si="28"/>
        <v>3112.87598</v>
      </c>
      <c r="G207" s="148" t="s">
        <v>512</v>
      </c>
      <c r="H207" s="150"/>
      <c r="I207" s="148" t="s">
        <v>631</v>
      </c>
      <c r="J207" s="148" t="s">
        <v>39</v>
      </c>
      <c r="K207" s="148" t="s">
        <v>617</v>
      </c>
      <c r="L207" s="150">
        <v>16.8</v>
      </c>
      <c r="M207" s="143">
        <v>0.8</v>
      </c>
      <c r="N207" s="143">
        <f t="shared" si="29"/>
        <v>13.440000000000001</v>
      </c>
    </row>
    <row r="208" spans="2:14" ht="76.5">
      <c r="B208" s="148" t="s">
        <v>626</v>
      </c>
      <c r="C208" s="149" t="s">
        <v>672</v>
      </c>
      <c r="D208" s="150" t="s">
        <v>39</v>
      </c>
      <c r="E208" s="148" t="s">
        <v>616</v>
      </c>
      <c r="F208" s="143">
        <f t="shared" si="28"/>
        <v>3112.87598</v>
      </c>
      <c r="G208" s="148" t="s">
        <v>512</v>
      </c>
      <c r="H208" s="150"/>
      <c r="I208" s="148" t="s">
        <v>632</v>
      </c>
      <c r="J208" s="148" t="s">
        <v>39</v>
      </c>
      <c r="K208" s="148" t="s">
        <v>617</v>
      </c>
      <c r="L208" s="150">
        <v>16.8</v>
      </c>
      <c r="M208" s="143">
        <v>0.2</v>
      </c>
      <c r="N208" s="143">
        <f t="shared" si="29"/>
        <v>3.3600000000000003</v>
      </c>
    </row>
    <row r="209" spans="2:14" ht="76.5">
      <c r="B209" s="148" t="s">
        <v>626</v>
      </c>
      <c r="C209" s="149" t="s">
        <v>672</v>
      </c>
      <c r="D209" s="150" t="s">
        <v>39</v>
      </c>
      <c r="E209" s="148" t="s">
        <v>616</v>
      </c>
      <c r="F209" s="143">
        <f t="shared" si="28"/>
        <v>3112.87598</v>
      </c>
      <c r="G209" s="148" t="s">
        <v>623</v>
      </c>
      <c r="H209" s="150">
        <v>88247</v>
      </c>
      <c r="I209" s="148" t="s">
        <v>624</v>
      </c>
      <c r="J209" s="148" t="s">
        <v>432</v>
      </c>
      <c r="K209" s="148" t="s">
        <v>625</v>
      </c>
      <c r="L209" s="150">
        <v>0.527</v>
      </c>
      <c r="M209" s="150">
        <v>20.42</v>
      </c>
      <c r="N209" s="143">
        <f t="shared" si="29"/>
        <v>10.76134</v>
      </c>
    </row>
    <row r="210" spans="2:14" ht="76.5">
      <c r="B210" s="148" t="s">
        <v>626</v>
      </c>
      <c r="C210" s="149" t="s">
        <v>672</v>
      </c>
      <c r="D210" s="150" t="s">
        <v>39</v>
      </c>
      <c r="E210" s="148" t="s">
        <v>616</v>
      </c>
      <c r="F210" s="143">
        <f t="shared" si="28"/>
        <v>3112.87598</v>
      </c>
      <c r="G210" s="148" t="s">
        <v>623</v>
      </c>
      <c r="H210" s="150">
        <v>88264</v>
      </c>
      <c r="I210" s="148" t="s">
        <v>574</v>
      </c>
      <c r="J210" s="148" t="s">
        <v>432</v>
      </c>
      <c r="K210" s="148" t="s">
        <v>625</v>
      </c>
      <c r="L210" s="150">
        <v>0.527</v>
      </c>
      <c r="M210" s="150">
        <v>23.23</v>
      </c>
      <c r="N210" s="143">
        <f t="shared" si="29"/>
        <v>12.24221</v>
      </c>
    </row>
    <row r="211" spans="2:14" ht="15">
      <c r="B211" s="147"/>
      <c r="C211" s="154"/>
      <c r="D211" s="147"/>
      <c r="E211" s="147"/>
      <c r="F211" s="147"/>
      <c r="G211" s="151"/>
      <c r="H211" s="147"/>
      <c r="I211" s="151"/>
      <c r="J211" s="152"/>
      <c r="K211" s="147"/>
      <c r="L211" s="152"/>
      <c r="M211" s="152"/>
      <c r="N211" s="143">
        <f>SUM(N204:N210)</f>
        <v>62.33755000000001</v>
      </c>
    </row>
    <row r="213" spans="2:14" ht="76.5">
      <c r="B213" s="148" t="s">
        <v>229</v>
      </c>
      <c r="C213" s="149" t="s">
        <v>674</v>
      </c>
      <c r="D213" s="150" t="s">
        <v>39</v>
      </c>
      <c r="E213" s="148" t="s">
        <v>616</v>
      </c>
      <c r="F213" s="143">
        <f aca="true" t="shared" si="30" ref="F213:F220">N$221</f>
        <v>81.64755000000001</v>
      </c>
      <c r="G213" s="151"/>
      <c r="H213" s="147"/>
      <c r="I213" s="151"/>
      <c r="J213" s="152"/>
      <c r="K213" s="147"/>
      <c r="L213" s="152"/>
      <c r="M213" s="152"/>
      <c r="N213" s="153"/>
    </row>
    <row r="214" spans="2:14" ht="76.5">
      <c r="B214" s="148" t="s">
        <v>229</v>
      </c>
      <c r="C214" s="149" t="s">
        <v>674</v>
      </c>
      <c r="D214" s="150" t="s">
        <v>39</v>
      </c>
      <c r="E214" s="148" t="s">
        <v>616</v>
      </c>
      <c r="F214" s="143">
        <f t="shared" si="30"/>
        <v>81.64755000000001</v>
      </c>
      <c r="G214" s="148" t="s">
        <v>512</v>
      </c>
      <c r="H214" s="150" t="s">
        <v>617</v>
      </c>
      <c r="I214" s="148" t="s">
        <v>675</v>
      </c>
      <c r="J214" s="148" t="s">
        <v>39</v>
      </c>
      <c r="K214" s="148" t="s">
        <v>617</v>
      </c>
      <c r="L214" s="150">
        <v>1</v>
      </c>
      <c r="M214" s="143">
        <v>25.9</v>
      </c>
      <c r="N214" s="143">
        <f aca="true" t="shared" si="31" ref="N214:N220">L214*M214</f>
        <v>25.9</v>
      </c>
    </row>
    <row r="215" spans="2:14" ht="76.5">
      <c r="B215" s="148" t="s">
        <v>229</v>
      </c>
      <c r="C215" s="149" t="s">
        <v>674</v>
      </c>
      <c r="D215" s="150" t="s">
        <v>39</v>
      </c>
      <c r="E215" s="148" t="s">
        <v>616</v>
      </c>
      <c r="F215" s="143">
        <f t="shared" si="30"/>
        <v>81.64755000000001</v>
      </c>
      <c r="G215" s="148" t="s">
        <v>512</v>
      </c>
      <c r="H215" s="150" t="s">
        <v>617</v>
      </c>
      <c r="I215" s="148" t="s">
        <v>636</v>
      </c>
      <c r="J215" s="148" t="s">
        <v>39</v>
      </c>
      <c r="K215" s="148" t="s">
        <v>617</v>
      </c>
      <c r="L215" s="150">
        <v>4</v>
      </c>
      <c r="M215" s="143">
        <v>1.76</v>
      </c>
      <c r="N215" s="143">
        <f t="shared" si="31"/>
        <v>7.04</v>
      </c>
    </row>
    <row r="216" spans="2:14" ht="76.5">
      <c r="B216" s="148" t="s">
        <v>229</v>
      </c>
      <c r="C216" s="149" t="s">
        <v>674</v>
      </c>
      <c r="D216" s="150" t="s">
        <v>39</v>
      </c>
      <c r="E216" s="148" t="s">
        <v>616</v>
      </c>
      <c r="F216" s="143">
        <f t="shared" si="30"/>
        <v>81.64755000000001</v>
      </c>
      <c r="G216" s="148" t="s">
        <v>512</v>
      </c>
      <c r="H216" s="150"/>
      <c r="I216" s="148" t="s">
        <v>630</v>
      </c>
      <c r="J216" s="148" t="s">
        <v>39</v>
      </c>
      <c r="K216" s="148" t="s">
        <v>617</v>
      </c>
      <c r="L216" s="150">
        <v>16.8</v>
      </c>
      <c r="M216" s="143">
        <v>0.53</v>
      </c>
      <c r="N216" s="143">
        <f t="shared" si="31"/>
        <v>8.904000000000002</v>
      </c>
    </row>
    <row r="217" spans="2:14" ht="76.5">
      <c r="B217" s="148" t="s">
        <v>229</v>
      </c>
      <c r="C217" s="149" t="s">
        <v>674</v>
      </c>
      <c r="D217" s="150" t="s">
        <v>39</v>
      </c>
      <c r="E217" s="148" t="s">
        <v>616</v>
      </c>
      <c r="F217" s="143">
        <f t="shared" si="30"/>
        <v>81.64755000000001</v>
      </c>
      <c r="G217" s="148" t="s">
        <v>512</v>
      </c>
      <c r="H217" s="150"/>
      <c r="I217" s="148" t="s">
        <v>631</v>
      </c>
      <c r="J217" s="148" t="s">
        <v>39</v>
      </c>
      <c r="K217" s="148" t="s">
        <v>617</v>
      </c>
      <c r="L217" s="150">
        <v>16.8</v>
      </c>
      <c r="M217" s="143">
        <v>0.8</v>
      </c>
      <c r="N217" s="143">
        <f t="shared" si="31"/>
        <v>13.440000000000001</v>
      </c>
    </row>
    <row r="218" spans="2:14" ht="76.5">
      <c r="B218" s="148" t="s">
        <v>229</v>
      </c>
      <c r="C218" s="149" t="s">
        <v>674</v>
      </c>
      <c r="D218" s="150" t="s">
        <v>39</v>
      </c>
      <c r="E218" s="148" t="s">
        <v>616</v>
      </c>
      <c r="F218" s="143">
        <f t="shared" si="30"/>
        <v>81.64755000000001</v>
      </c>
      <c r="G218" s="148" t="s">
        <v>512</v>
      </c>
      <c r="H218" s="150"/>
      <c r="I218" s="148" t="s">
        <v>632</v>
      </c>
      <c r="J218" s="148" t="s">
        <v>39</v>
      </c>
      <c r="K218" s="148" t="s">
        <v>617</v>
      </c>
      <c r="L218" s="150">
        <v>16.8</v>
      </c>
      <c r="M218" s="143">
        <v>0.2</v>
      </c>
      <c r="N218" s="143">
        <f t="shared" si="31"/>
        <v>3.3600000000000003</v>
      </c>
    </row>
    <row r="219" spans="2:14" ht="76.5">
      <c r="B219" s="148" t="s">
        <v>229</v>
      </c>
      <c r="C219" s="149" t="s">
        <v>674</v>
      </c>
      <c r="D219" s="150" t="s">
        <v>39</v>
      </c>
      <c r="E219" s="148" t="s">
        <v>616</v>
      </c>
      <c r="F219" s="143">
        <f t="shared" si="30"/>
        <v>81.64755000000001</v>
      </c>
      <c r="G219" s="148" t="s">
        <v>623</v>
      </c>
      <c r="H219" s="150">
        <v>88247</v>
      </c>
      <c r="I219" s="148" t="s">
        <v>624</v>
      </c>
      <c r="J219" s="148" t="s">
        <v>432</v>
      </c>
      <c r="K219" s="148" t="s">
        <v>625</v>
      </c>
      <c r="L219" s="150">
        <v>0.527</v>
      </c>
      <c r="M219" s="150">
        <v>20.42</v>
      </c>
      <c r="N219" s="143">
        <f t="shared" si="31"/>
        <v>10.76134</v>
      </c>
    </row>
    <row r="220" spans="2:14" ht="76.5">
      <c r="B220" s="148" t="s">
        <v>229</v>
      </c>
      <c r="C220" s="149" t="s">
        <v>674</v>
      </c>
      <c r="D220" s="150" t="s">
        <v>39</v>
      </c>
      <c r="E220" s="148" t="s">
        <v>616</v>
      </c>
      <c r="F220" s="143">
        <f t="shared" si="30"/>
        <v>81.64755000000001</v>
      </c>
      <c r="G220" s="148" t="s">
        <v>623</v>
      </c>
      <c r="H220" s="150">
        <v>88264</v>
      </c>
      <c r="I220" s="148" t="s">
        <v>574</v>
      </c>
      <c r="J220" s="148" t="s">
        <v>432</v>
      </c>
      <c r="K220" s="148" t="s">
        <v>625</v>
      </c>
      <c r="L220" s="150">
        <v>0.527</v>
      </c>
      <c r="M220" s="150">
        <v>23.23</v>
      </c>
      <c r="N220" s="143">
        <f t="shared" si="31"/>
        <v>12.24221</v>
      </c>
    </row>
    <row r="221" spans="2:14" ht="15">
      <c r="B221" s="147"/>
      <c r="C221" s="154"/>
      <c r="D221" s="147"/>
      <c r="E221" s="147"/>
      <c r="F221" s="147"/>
      <c r="G221" s="151"/>
      <c r="H221" s="147"/>
      <c r="I221" s="151"/>
      <c r="J221" s="152"/>
      <c r="K221" s="147"/>
      <c r="L221" s="152"/>
      <c r="M221" s="152"/>
      <c r="N221" s="143">
        <f>SUM(N214:N220)</f>
        <v>81.64755000000001</v>
      </c>
    </row>
    <row r="223" spans="2:14" ht="63.75">
      <c r="B223" s="148" t="s">
        <v>184</v>
      </c>
      <c r="C223" s="149" t="s">
        <v>185</v>
      </c>
      <c r="D223" s="150" t="s">
        <v>39</v>
      </c>
      <c r="E223" s="148" t="s">
        <v>616</v>
      </c>
      <c r="F223" s="143">
        <f>N$228</f>
        <v>238.552915</v>
      </c>
      <c r="G223" s="151"/>
      <c r="H223" s="147"/>
      <c r="I223" s="151"/>
      <c r="J223" s="152"/>
      <c r="K223" s="147"/>
      <c r="L223" s="152"/>
      <c r="M223" s="152"/>
      <c r="N223" s="153"/>
    </row>
    <row r="224" spans="2:14" ht="63.75">
      <c r="B224" s="148" t="s">
        <v>184</v>
      </c>
      <c r="C224" s="149" t="s">
        <v>185</v>
      </c>
      <c r="D224" s="150" t="s">
        <v>39</v>
      </c>
      <c r="E224" s="148" t="s">
        <v>616</v>
      </c>
      <c r="F224" s="143">
        <f>N$228</f>
        <v>238.552915</v>
      </c>
      <c r="G224" s="148" t="s">
        <v>512</v>
      </c>
      <c r="H224" s="150">
        <v>2595</v>
      </c>
      <c r="I224" s="149" t="s">
        <v>676</v>
      </c>
      <c r="J224" s="148" t="s">
        <v>39</v>
      </c>
      <c r="K224" s="148" t="s">
        <v>616</v>
      </c>
      <c r="L224" s="150">
        <v>1</v>
      </c>
      <c r="M224" s="143">
        <v>219.13</v>
      </c>
      <c r="N224" s="143">
        <f>L224*M224</f>
        <v>219.13</v>
      </c>
    </row>
    <row r="225" spans="2:14" ht="63.75">
      <c r="B225" s="148" t="s">
        <v>184</v>
      </c>
      <c r="C225" s="149" t="s">
        <v>185</v>
      </c>
      <c r="D225" s="150" t="s">
        <v>39</v>
      </c>
      <c r="E225" s="148" t="s">
        <v>616</v>
      </c>
      <c r="F225" s="143">
        <f>N$228</f>
        <v>238.552915</v>
      </c>
      <c r="G225" s="148" t="s">
        <v>512</v>
      </c>
      <c r="H225" s="150">
        <v>11950</v>
      </c>
      <c r="I225" s="149" t="s">
        <v>677</v>
      </c>
      <c r="J225" s="148" t="s">
        <v>39</v>
      </c>
      <c r="K225" s="148" t="s">
        <v>616</v>
      </c>
      <c r="L225" s="150">
        <v>2</v>
      </c>
      <c r="M225" s="143">
        <v>0.39</v>
      </c>
      <c r="N225" s="143">
        <f>L225*M225</f>
        <v>0.78</v>
      </c>
    </row>
    <row r="226" spans="2:14" ht="63.75">
      <c r="B226" s="148" t="s">
        <v>184</v>
      </c>
      <c r="C226" s="149" t="s">
        <v>185</v>
      </c>
      <c r="D226" s="150" t="s">
        <v>39</v>
      </c>
      <c r="E226" s="148" t="s">
        <v>616</v>
      </c>
      <c r="F226" s="143">
        <f>N$228</f>
        <v>238.552915</v>
      </c>
      <c r="G226" s="148" t="s">
        <v>623</v>
      </c>
      <c r="H226" s="150">
        <v>88247</v>
      </c>
      <c r="I226" s="148" t="s">
        <v>652</v>
      </c>
      <c r="J226" s="148" t="s">
        <v>432</v>
      </c>
      <c r="K226" s="148" t="s">
        <v>625</v>
      </c>
      <c r="L226" s="150">
        <v>0.4271</v>
      </c>
      <c r="M226" s="150">
        <v>20.42</v>
      </c>
      <c r="N226" s="143">
        <f>L226*M226</f>
        <v>8.721382</v>
      </c>
    </row>
    <row r="227" spans="2:14" ht="63.75">
      <c r="B227" s="148" t="s">
        <v>184</v>
      </c>
      <c r="C227" s="149" t="s">
        <v>185</v>
      </c>
      <c r="D227" s="150" t="s">
        <v>39</v>
      </c>
      <c r="E227" s="148" t="s">
        <v>616</v>
      </c>
      <c r="F227" s="143">
        <f>N$228</f>
        <v>238.552915</v>
      </c>
      <c r="G227" s="148" t="s">
        <v>623</v>
      </c>
      <c r="H227" s="150">
        <v>88264</v>
      </c>
      <c r="I227" s="148" t="s">
        <v>574</v>
      </c>
      <c r="J227" s="148" t="s">
        <v>432</v>
      </c>
      <c r="K227" s="148" t="s">
        <v>625</v>
      </c>
      <c r="L227" s="150">
        <v>0.4271</v>
      </c>
      <c r="M227" s="150">
        <v>23.23</v>
      </c>
      <c r="N227" s="143">
        <f>L227*M227</f>
        <v>9.921533</v>
      </c>
    </row>
    <row r="228" spans="2:14" ht="15">
      <c r="B228" s="147"/>
      <c r="C228" s="154"/>
      <c r="D228" s="147"/>
      <c r="E228" s="147"/>
      <c r="F228" s="147"/>
      <c r="G228" s="151"/>
      <c r="H228" s="147"/>
      <c r="I228" s="151"/>
      <c r="J228" s="152"/>
      <c r="K228" s="147"/>
      <c r="L228" s="152"/>
      <c r="M228" s="152"/>
      <c r="N228" s="143">
        <f>SUM(N224:N227)</f>
        <v>238.552915</v>
      </c>
    </row>
    <row r="230" spans="2:14" ht="38.25">
      <c r="B230" s="148" t="s">
        <v>277</v>
      </c>
      <c r="C230" s="149" t="s">
        <v>278</v>
      </c>
      <c r="D230" s="150" t="s">
        <v>39</v>
      </c>
      <c r="E230" s="148" t="s">
        <v>348</v>
      </c>
      <c r="F230" s="143">
        <f>N$235</f>
        <v>118.23536700000001</v>
      </c>
      <c r="G230" s="151"/>
      <c r="H230" s="147"/>
      <c r="I230" s="151"/>
      <c r="J230" s="152"/>
      <c r="K230" s="147"/>
      <c r="L230" s="152"/>
      <c r="M230" s="152"/>
      <c r="N230" s="153"/>
    </row>
    <row r="231" spans="2:14" ht="63.75">
      <c r="B231" s="148" t="s">
        <v>277</v>
      </c>
      <c r="C231" s="149" t="s">
        <v>278</v>
      </c>
      <c r="D231" s="150" t="s">
        <v>39</v>
      </c>
      <c r="E231" s="148" t="s">
        <v>348</v>
      </c>
      <c r="F231" s="143">
        <f>N$235</f>
        <v>118.23536700000001</v>
      </c>
      <c r="G231" s="148" t="s">
        <v>512</v>
      </c>
      <c r="H231" s="150">
        <v>3803</v>
      </c>
      <c r="I231" s="149" t="s">
        <v>678</v>
      </c>
      <c r="J231" s="148" t="s">
        <v>39</v>
      </c>
      <c r="K231" s="148" t="s">
        <v>679</v>
      </c>
      <c r="L231" s="150">
        <v>1</v>
      </c>
      <c r="M231" s="143">
        <v>92.92</v>
      </c>
      <c r="N231" s="143">
        <f>L231*M231</f>
        <v>92.92</v>
      </c>
    </row>
    <row r="232" spans="2:14" ht="38.25">
      <c r="B232" s="148" t="s">
        <v>277</v>
      </c>
      <c r="C232" s="149" t="s">
        <v>278</v>
      </c>
      <c r="D232" s="150" t="s">
        <v>39</v>
      </c>
      <c r="E232" s="148" t="s">
        <v>348</v>
      </c>
      <c r="F232" s="143">
        <f>N$235</f>
        <v>118.23536700000001</v>
      </c>
      <c r="G232" s="148" t="s">
        <v>512</v>
      </c>
      <c r="H232" s="150">
        <v>38194</v>
      </c>
      <c r="I232" s="149" t="s">
        <v>680</v>
      </c>
      <c r="J232" s="148" t="s">
        <v>39</v>
      </c>
      <c r="K232" s="148" t="s">
        <v>625</v>
      </c>
      <c r="L232" s="150">
        <v>1</v>
      </c>
      <c r="M232" s="143">
        <v>8.32</v>
      </c>
      <c r="N232" s="143">
        <f>L232*M232</f>
        <v>8.32</v>
      </c>
    </row>
    <row r="233" spans="2:14" ht="63.75">
      <c r="B233" s="148" t="s">
        <v>277</v>
      </c>
      <c r="C233" s="149" t="s">
        <v>278</v>
      </c>
      <c r="D233" s="150" t="s">
        <v>39</v>
      </c>
      <c r="E233" s="148" t="s">
        <v>348</v>
      </c>
      <c r="F233" s="143">
        <f>N$235</f>
        <v>118.23536700000001</v>
      </c>
      <c r="G233" s="148" t="s">
        <v>623</v>
      </c>
      <c r="H233" s="150">
        <v>88247</v>
      </c>
      <c r="I233" s="148" t="s">
        <v>652</v>
      </c>
      <c r="J233" s="148" t="s">
        <v>432</v>
      </c>
      <c r="K233" s="148" t="s">
        <v>616</v>
      </c>
      <c r="L233" s="150">
        <v>0.2231</v>
      </c>
      <c r="M233" s="150">
        <v>20.42</v>
      </c>
      <c r="N233" s="143">
        <f>L233*M233</f>
        <v>4.555702</v>
      </c>
    </row>
    <row r="234" spans="2:14" ht="38.25">
      <c r="B234" s="148" t="s">
        <v>277</v>
      </c>
      <c r="C234" s="149" t="s">
        <v>278</v>
      </c>
      <c r="D234" s="150" t="s">
        <v>39</v>
      </c>
      <c r="E234" s="148" t="s">
        <v>348</v>
      </c>
      <c r="F234" s="143">
        <f>N$235</f>
        <v>118.23536700000001</v>
      </c>
      <c r="G234" s="148" t="s">
        <v>623</v>
      </c>
      <c r="H234" s="150">
        <v>88264</v>
      </c>
      <c r="I234" s="148" t="s">
        <v>574</v>
      </c>
      <c r="J234" s="148" t="s">
        <v>432</v>
      </c>
      <c r="K234" s="148" t="s">
        <v>625</v>
      </c>
      <c r="L234" s="150">
        <v>0.5355</v>
      </c>
      <c r="M234" s="150">
        <v>23.23</v>
      </c>
      <c r="N234" s="143">
        <f>L234*M234</f>
        <v>12.439665</v>
      </c>
    </row>
    <row r="235" spans="2:14" ht="15">
      <c r="B235" s="147"/>
      <c r="C235" s="154"/>
      <c r="D235" s="147"/>
      <c r="E235" s="147"/>
      <c r="F235" s="147"/>
      <c r="G235" s="151"/>
      <c r="H235" s="147"/>
      <c r="I235" s="151"/>
      <c r="J235" s="152"/>
      <c r="K235" s="147"/>
      <c r="L235" s="152"/>
      <c r="M235" s="152"/>
      <c r="N235" s="143">
        <f>SUM(N231:N234)</f>
        <v>118.23536700000001</v>
      </c>
    </row>
    <row r="236" spans="2:14" ht="63.75">
      <c r="B236" s="148" t="s">
        <v>328</v>
      </c>
      <c r="C236" s="149" t="s">
        <v>329</v>
      </c>
      <c r="D236" s="150" t="s">
        <v>30</v>
      </c>
      <c r="E236" s="148" t="s">
        <v>616</v>
      </c>
      <c r="F236" s="143">
        <f>N$240</f>
        <v>22.76</v>
      </c>
      <c r="G236" s="151"/>
      <c r="H236" s="147"/>
      <c r="I236" s="151"/>
      <c r="J236" s="152"/>
      <c r="K236" s="147"/>
      <c r="L236" s="152"/>
      <c r="M236" s="152"/>
      <c r="N236" s="153"/>
    </row>
    <row r="237" spans="2:14" ht="63.75">
      <c r="B237" s="148" t="s">
        <v>328</v>
      </c>
      <c r="C237" s="149" t="s">
        <v>329</v>
      </c>
      <c r="D237" s="150" t="s">
        <v>30</v>
      </c>
      <c r="E237" s="148" t="s">
        <v>616</v>
      </c>
      <c r="F237" s="143">
        <f>N$240</f>
        <v>22.76</v>
      </c>
      <c r="G237" s="148" t="s">
        <v>512</v>
      </c>
      <c r="H237" s="150">
        <v>39028</v>
      </c>
      <c r="I237" s="148" t="s">
        <v>681</v>
      </c>
      <c r="J237" s="148" t="s">
        <v>30</v>
      </c>
      <c r="K237" s="148" t="s">
        <v>617</v>
      </c>
      <c r="L237" s="150">
        <v>1</v>
      </c>
      <c r="M237" s="143">
        <v>14.03</v>
      </c>
      <c r="N237" s="143">
        <f>L237*M237</f>
        <v>14.03</v>
      </c>
    </row>
    <row r="238" spans="2:14" ht="63.75">
      <c r="B238" s="148" t="s">
        <v>328</v>
      </c>
      <c r="C238" s="149" t="s">
        <v>329</v>
      </c>
      <c r="D238" s="150" t="s">
        <v>30</v>
      </c>
      <c r="E238" s="148" t="s">
        <v>616</v>
      </c>
      <c r="F238" s="143">
        <f>N$240</f>
        <v>22.76</v>
      </c>
      <c r="G238" s="148" t="s">
        <v>623</v>
      </c>
      <c r="H238" s="150">
        <v>88247</v>
      </c>
      <c r="I238" s="148" t="s">
        <v>624</v>
      </c>
      <c r="J238" s="148" t="s">
        <v>432</v>
      </c>
      <c r="K238" s="148" t="s">
        <v>625</v>
      </c>
      <c r="L238" s="150">
        <v>0.2</v>
      </c>
      <c r="M238" s="150">
        <v>20.42</v>
      </c>
      <c r="N238" s="143">
        <f>L238*M238</f>
        <v>4.0840000000000005</v>
      </c>
    </row>
    <row r="239" spans="2:14" ht="63.75">
      <c r="B239" s="148" t="s">
        <v>328</v>
      </c>
      <c r="C239" s="149" t="s">
        <v>329</v>
      </c>
      <c r="D239" s="150" t="s">
        <v>30</v>
      </c>
      <c r="E239" s="148" t="s">
        <v>616</v>
      </c>
      <c r="F239" s="143">
        <f>N$240</f>
        <v>22.76</v>
      </c>
      <c r="G239" s="148" t="s">
        <v>623</v>
      </c>
      <c r="H239" s="150">
        <v>88264</v>
      </c>
      <c r="I239" s="148" t="s">
        <v>574</v>
      </c>
      <c r="J239" s="148" t="s">
        <v>432</v>
      </c>
      <c r="K239" s="148" t="s">
        <v>625</v>
      </c>
      <c r="L239" s="150">
        <v>0.2</v>
      </c>
      <c r="M239" s="150">
        <v>23.23</v>
      </c>
      <c r="N239" s="143">
        <f>L239*M239</f>
        <v>4.646</v>
      </c>
    </row>
    <row r="240" spans="2:14" ht="15">
      <c r="B240" s="147"/>
      <c r="C240" s="154"/>
      <c r="D240" s="147"/>
      <c r="E240" s="147"/>
      <c r="F240" s="147"/>
      <c r="G240" s="151"/>
      <c r="H240" s="147"/>
      <c r="I240" s="151"/>
      <c r="J240" s="152"/>
      <c r="K240" s="147"/>
      <c r="L240" s="152"/>
      <c r="M240" s="152"/>
      <c r="N240" s="143">
        <f>SUM(N237:N239)</f>
        <v>22.76</v>
      </c>
    </row>
    <row r="241" spans="2:14" ht="63.75">
      <c r="B241" s="148" t="s">
        <v>331</v>
      </c>
      <c r="C241" s="149" t="s">
        <v>332</v>
      </c>
      <c r="D241" s="150" t="s">
        <v>39</v>
      </c>
      <c r="E241" s="148" t="s">
        <v>616</v>
      </c>
      <c r="F241" s="143">
        <f>N$245</f>
        <v>6.9725</v>
      </c>
      <c r="G241" s="151"/>
      <c r="H241" s="147"/>
      <c r="I241" s="151"/>
      <c r="J241" s="152"/>
      <c r="K241" s="147"/>
      <c r="L241" s="152"/>
      <c r="M241" s="152"/>
      <c r="N241" s="153"/>
    </row>
    <row r="242" spans="2:14" ht="63.75">
      <c r="B242" s="148" t="s">
        <v>331</v>
      </c>
      <c r="C242" s="149" t="s">
        <v>332</v>
      </c>
      <c r="D242" s="150" t="s">
        <v>39</v>
      </c>
      <c r="E242" s="148" t="s">
        <v>616</v>
      </c>
      <c r="F242" s="143">
        <f>N$245</f>
        <v>6.9725</v>
      </c>
      <c r="G242" s="148" t="s">
        <v>512</v>
      </c>
      <c r="H242" s="150" t="s">
        <v>617</v>
      </c>
      <c r="I242" s="148" t="s">
        <v>682</v>
      </c>
      <c r="J242" s="148" t="s">
        <v>30</v>
      </c>
      <c r="K242" s="148" t="s">
        <v>617</v>
      </c>
      <c r="L242" s="150">
        <v>1</v>
      </c>
      <c r="M242" s="143">
        <v>4.79</v>
      </c>
      <c r="N242" s="143">
        <f>L242*M242</f>
        <v>4.79</v>
      </c>
    </row>
    <row r="243" spans="2:14" ht="63.75">
      <c r="B243" s="148" t="s">
        <v>331</v>
      </c>
      <c r="C243" s="149" t="s">
        <v>332</v>
      </c>
      <c r="D243" s="150" t="s">
        <v>39</v>
      </c>
      <c r="E243" s="148" t="s">
        <v>616</v>
      </c>
      <c r="F243" s="143">
        <f>N$245</f>
        <v>6.9725</v>
      </c>
      <c r="G243" s="148" t="s">
        <v>623</v>
      </c>
      <c r="H243" s="150">
        <v>88247</v>
      </c>
      <c r="I243" s="148" t="s">
        <v>624</v>
      </c>
      <c r="J243" s="148" t="s">
        <v>432</v>
      </c>
      <c r="K243" s="148" t="s">
        <v>625</v>
      </c>
      <c r="L243" s="150">
        <v>0.05</v>
      </c>
      <c r="M243" s="150">
        <v>20.42</v>
      </c>
      <c r="N243" s="143">
        <f>L243*M243</f>
        <v>1.0210000000000001</v>
      </c>
    </row>
    <row r="244" spans="2:14" ht="63.75">
      <c r="B244" s="148" t="s">
        <v>331</v>
      </c>
      <c r="C244" s="149" t="s">
        <v>332</v>
      </c>
      <c r="D244" s="150" t="s">
        <v>39</v>
      </c>
      <c r="E244" s="148" t="s">
        <v>616</v>
      </c>
      <c r="F244" s="143">
        <f>N$245</f>
        <v>6.9725</v>
      </c>
      <c r="G244" s="148" t="s">
        <v>623</v>
      </c>
      <c r="H244" s="150">
        <v>88264</v>
      </c>
      <c r="I244" s="148" t="s">
        <v>574</v>
      </c>
      <c r="J244" s="148" t="s">
        <v>432</v>
      </c>
      <c r="K244" s="148" t="s">
        <v>625</v>
      </c>
      <c r="L244" s="150">
        <v>0.05</v>
      </c>
      <c r="M244" s="150">
        <v>23.23</v>
      </c>
      <c r="N244" s="143">
        <f>L244*M244</f>
        <v>1.1615</v>
      </c>
    </row>
    <row r="245" spans="2:14" ht="15">
      <c r="B245" s="147"/>
      <c r="C245" s="154"/>
      <c r="D245" s="147"/>
      <c r="E245" s="147"/>
      <c r="F245" s="147"/>
      <c r="G245" s="151"/>
      <c r="H245" s="147"/>
      <c r="I245" s="151"/>
      <c r="J245" s="152"/>
      <c r="K245" s="147"/>
      <c r="L245" s="152"/>
      <c r="M245" s="152"/>
      <c r="N245" s="143">
        <f>SUM(N242:N244)</f>
        <v>6.9725</v>
      </c>
    </row>
    <row r="246" spans="2:14" ht="63.75">
      <c r="B246" s="148" t="s">
        <v>334</v>
      </c>
      <c r="C246" s="149" t="s">
        <v>335</v>
      </c>
      <c r="D246" s="150" t="s">
        <v>39</v>
      </c>
      <c r="E246" s="148" t="s">
        <v>616</v>
      </c>
      <c r="F246" s="143">
        <f>N$250</f>
        <v>12.945</v>
      </c>
      <c r="G246" s="151"/>
      <c r="H246" s="147"/>
      <c r="I246" s="151"/>
      <c r="J246" s="152"/>
      <c r="K246" s="147"/>
      <c r="L246" s="152"/>
      <c r="M246" s="152"/>
      <c r="N246" s="153"/>
    </row>
    <row r="247" spans="2:14" ht="63.75">
      <c r="B247" s="148" t="s">
        <v>334</v>
      </c>
      <c r="C247" s="149" t="s">
        <v>335</v>
      </c>
      <c r="D247" s="150" t="s">
        <v>39</v>
      </c>
      <c r="E247" s="148" t="s">
        <v>616</v>
      </c>
      <c r="F247" s="143">
        <f>N$250</f>
        <v>12.945</v>
      </c>
      <c r="G247" s="148" t="s">
        <v>512</v>
      </c>
      <c r="H247" s="150" t="s">
        <v>617</v>
      </c>
      <c r="I247" s="149" t="s">
        <v>683</v>
      </c>
      <c r="J247" s="148" t="s">
        <v>30</v>
      </c>
      <c r="K247" s="148" t="s">
        <v>617</v>
      </c>
      <c r="L247" s="150">
        <v>1</v>
      </c>
      <c r="M247" s="143">
        <v>8.58</v>
      </c>
      <c r="N247" s="143">
        <f>L247*M247</f>
        <v>8.58</v>
      </c>
    </row>
    <row r="248" spans="2:14" ht="63.75">
      <c r="B248" s="148" t="s">
        <v>334</v>
      </c>
      <c r="C248" s="149" t="s">
        <v>335</v>
      </c>
      <c r="D248" s="150" t="s">
        <v>39</v>
      </c>
      <c r="E248" s="148" t="s">
        <v>616</v>
      </c>
      <c r="F248" s="143">
        <f>N$250</f>
        <v>12.945</v>
      </c>
      <c r="G248" s="148" t="s">
        <v>623</v>
      </c>
      <c r="H248" s="150">
        <v>88247</v>
      </c>
      <c r="I248" s="148" t="s">
        <v>624</v>
      </c>
      <c r="J248" s="148" t="s">
        <v>432</v>
      </c>
      <c r="K248" s="148" t="s">
        <v>625</v>
      </c>
      <c r="L248" s="150">
        <v>0.1</v>
      </c>
      <c r="M248" s="150">
        <v>20.42</v>
      </c>
      <c r="N248" s="143">
        <f>L248*M248</f>
        <v>2.0420000000000003</v>
      </c>
    </row>
    <row r="249" spans="2:14" ht="63.75">
      <c r="B249" s="148" t="s">
        <v>334</v>
      </c>
      <c r="C249" s="149" t="s">
        <v>335</v>
      </c>
      <c r="D249" s="150" t="s">
        <v>39</v>
      </c>
      <c r="E249" s="148" t="s">
        <v>616</v>
      </c>
      <c r="F249" s="143">
        <f>N$250</f>
        <v>12.945</v>
      </c>
      <c r="G249" s="148" t="s">
        <v>623</v>
      </c>
      <c r="H249" s="150">
        <v>88264</v>
      </c>
      <c r="I249" s="148" t="s">
        <v>574</v>
      </c>
      <c r="J249" s="148" t="s">
        <v>432</v>
      </c>
      <c r="K249" s="148" t="s">
        <v>625</v>
      </c>
      <c r="L249" s="150">
        <v>0.1</v>
      </c>
      <c r="M249" s="150">
        <v>23.23</v>
      </c>
      <c r="N249" s="143">
        <f>L249*M249</f>
        <v>2.323</v>
      </c>
    </row>
    <row r="250" spans="2:14" ht="15">
      <c r="B250" s="147"/>
      <c r="C250" s="154"/>
      <c r="D250" s="147"/>
      <c r="E250" s="147"/>
      <c r="F250" s="147"/>
      <c r="G250" s="151"/>
      <c r="H250" s="147"/>
      <c r="I250" s="151"/>
      <c r="J250" s="152"/>
      <c r="K250" s="147"/>
      <c r="L250" s="152"/>
      <c r="M250" s="152"/>
      <c r="N250" s="143">
        <f>SUM(N247:N249)</f>
        <v>12.945</v>
      </c>
    </row>
    <row r="251" spans="2:14" ht="63.75">
      <c r="B251" s="148" t="s">
        <v>337</v>
      </c>
      <c r="C251" s="149" t="s">
        <v>338</v>
      </c>
      <c r="D251" s="150" t="s">
        <v>39</v>
      </c>
      <c r="E251" s="148" t="s">
        <v>616</v>
      </c>
      <c r="F251" s="143">
        <f>N$255</f>
        <v>16.365</v>
      </c>
      <c r="G251" s="151"/>
      <c r="H251" s="147"/>
      <c r="I251" s="151"/>
      <c r="J251" s="152"/>
      <c r="K251" s="147"/>
      <c r="L251" s="152"/>
      <c r="M251" s="152"/>
      <c r="N251" s="153"/>
    </row>
    <row r="252" spans="2:14" ht="63.75">
      <c r="B252" s="148" t="s">
        <v>337</v>
      </c>
      <c r="C252" s="149" t="s">
        <v>338</v>
      </c>
      <c r="D252" s="150" t="s">
        <v>39</v>
      </c>
      <c r="E252" s="148" t="s">
        <v>616</v>
      </c>
      <c r="F252" s="143">
        <f>N$255</f>
        <v>16.365</v>
      </c>
      <c r="G252" s="148" t="s">
        <v>512</v>
      </c>
      <c r="H252" s="150" t="s">
        <v>617</v>
      </c>
      <c r="I252" s="149" t="s">
        <v>684</v>
      </c>
      <c r="J252" s="148" t="s">
        <v>30</v>
      </c>
      <c r="K252" s="148" t="s">
        <v>617</v>
      </c>
      <c r="L252" s="150">
        <v>1</v>
      </c>
      <c r="M252" s="143">
        <v>12</v>
      </c>
      <c r="N252" s="143">
        <f>L252*M252</f>
        <v>12</v>
      </c>
    </row>
    <row r="253" spans="2:14" ht="63.75">
      <c r="B253" s="148" t="s">
        <v>337</v>
      </c>
      <c r="C253" s="149" t="s">
        <v>338</v>
      </c>
      <c r="D253" s="150" t="s">
        <v>39</v>
      </c>
      <c r="E253" s="148" t="s">
        <v>616</v>
      </c>
      <c r="F253" s="143">
        <f>N$255</f>
        <v>16.365</v>
      </c>
      <c r="G253" s="148" t="s">
        <v>623</v>
      </c>
      <c r="H253" s="150">
        <v>88247</v>
      </c>
      <c r="I253" s="148" t="s">
        <v>624</v>
      </c>
      <c r="J253" s="148" t="s">
        <v>432</v>
      </c>
      <c r="K253" s="148" t="s">
        <v>625</v>
      </c>
      <c r="L253" s="150">
        <v>0.1</v>
      </c>
      <c r="M253" s="150">
        <v>20.42</v>
      </c>
      <c r="N253" s="143">
        <f>L253*M253</f>
        <v>2.0420000000000003</v>
      </c>
    </row>
    <row r="254" spans="2:14" ht="63.75">
      <c r="B254" s="148" t="s">
        <v>337</v>
      </c>
      <c r="C254" s="149" t="s">
        <v>338</v>
      </c>
      <c r="D254" s="150" t="s">
        <v>39</v>
      </c>
      <c r="E254" s="148" t="s">
        <v>616</v>
      </c>
      <c r="F254" s="143">
        <f>N$255</f>
        <v>16.365</v>
      </c>
      <c r="G254" s="148" t="s">
        <v>623</v>
      </c>
      <c r="H254" s="150">
        <v>88264</v>
      </c>
      <c r="I254" s="148" t="s">
        <v>574</v>
      </c>
      <c r="J254" s="148" t="s">
        <v>432</v>
      </c>
      <c r="K254" s="148" t="s">
        <v>625</v>
      </c>
      <c r="L254" s="150">
        <v>0.1</v>
      </c>
      <c r="M254" s="150">
        <v>23.23</v>
      </c>
      <c r="N254" s="143">
        <f>L254*M254</f>
        <v>2.323</v>
      </c>
    </row>
    <row r="255" spans="2:14" ht="15">
      <c r="B255" s="147"/>
      <c r="C255" s="154"/>
      <c r="D255" s="147"/>
      <c r="E255" s="147"/>
      <c r="F255" s="147"/>
      <c r="G255" s="151"/>
      <c r="H255" s="147"/>
      <c r="I255" s="151"/>
      <c r="J255" s="152"/>
      <c r="K255" s="147"/>
      <c r="L255" s="152"/>
      <c r="M255" s="152"/>
      <c r="N255" s="143">
        <f>SUM(N252:N254)</f>
        <v>16.365</v>
      </c>
    </row>
    <row r="256" spans="2:14" ht="63.75">
      <c r="B256" s="148" t="s">
        <v>345</v>
      </c>
      <c r="C256" s="149" t="s">
        <v>346</v>
      </c>
      <c r="D256" s="150" t="s">
        <v>30</v>
      </c>
      <c r="E256" s="148" t="s">
        <v>616</v>
      </c>
      <c r="F256" s="143">
        <f>N$261</f>
        <v>2.21145</v>
      </c>
      <c r="G256" s="151"/>
      <c r="H256" s="147"/>
      <c r="I256" s="151"/>
      <c r="J256" s="152"/>
      <c r="K256" s="147"/>
      <c r="L256" s="152"/>
      <c r="M256" s="152"/>
      <c r="N256" s="153"/>
    </row>
    <row r="257" spans="2:14" ht="63.75">
      <c r="B257" s="148" t="s">
        <v>345</v>
      </c>
      <c r="C257" s="149" t="s">
        <v>346</v>
      </c>
      <c r="D257" s="150" t="s">
        <v>30</v>
      </c>
      <c r="E257" s="148" t="s">
        <v>616</v>
      </c>
      <c r="F257" s="143">
        <f>N$261</f>
        <v>2.21145</v>
      </c>
      <c r="G257" s="148" t="s">
        <v>512</v>
      </c>
      <c r="H257" s="150">
        <v>39252</v>
      </c>
      <c r="I257" s="160" t="s">
        <v>685</v>
      </c>
      <c r="J257" s="148" t="s">
        <v>30</v>
      </c>
      <c r="K257" s="148" t="s">
        <v>616</v>
      </c>
      <c r="L257" s="150">
        <v>1</v>
      </c>
      <c r="M257" s="143">
        <v>1.14</v>
      </c>
      <c r="N257" s="143">
        <f>L257*M257</f>
        <v>1.14</v>
      </c>
    </row>
    <row r="258" spans="2:14" ht="63.75">
      <c r="B258" s="148" t="s">
        <v>345</v>
      </c>
      <c r="C258" s="149" t="s">
        <v>346</v>
      </c>
      <c r="D258" s="150" t="s">
        <v>30</v>
      </c>
      <c r="E258" s="148" t="s">
        <v>616</v>
      </c>
      <c r="F258" s="143">
        <f>N$261</f>
        <v>2.21145</v>
      </c>
      <c r="G258" s="148" t="s">
        <v>512</v>
      </c>
      <c r="H258" s="150">
        <v>21127</v>
      </c>
      <c r="I258" s="160" t="s">
        <v>686</v>
      </c>
      <c r="J258" s="148" t="s">
        <v>39</v>
      </c>
      <c r="K258" s="148" t="s">
        <v>616</v>
      </c>
      <c r="L258" s="150">
        <v>0.009</v>
      </c>
      <c r="M258" s="143">
        <v>2.65</v>
      </c>
      <c r="N258" s="143">
        <f>L258*M258</f>
        <v>0.023849999999999996</v>
      </c>
    </row>
    <row r="259" spans="2:14" ht="63.75">
      <c r="B259" s="148" t="s">
        <v>345</v>
      </c>
      <c r="C259" s="149" t="s">
        <v>346</v>
      </c>
      <c r="D259" s="150" t="s">
        <v>30</v>
      </c>
      <c r="E259" s="148" t="s">
        <v>616</v>
      </c>
      <c r="F259" s="143">
        <f>N$261</f>
        <v>2.21145</v>
      </c>
      <c r="G259" s="148" t="s">
        <v>623</v>
      </c>
      <c r="H259" s="150">
        <v>88247</v>
      </c>
      <c r="I259" s="148" t="s">
        <v>624</v>
      </c>
      <c r="J259" s="148" t="s">
        <v>432</v>
      </c>
      <c r="K259" s="148" t="s">
        <v>625</v>
      </c>
      <c r="L259" s="150">
        <v>0.024</v>
      </c>
      <c r="M259" s="150">
        <v>20.42</v>
      </c>
      <c r="N259" s="143">
        <f>L259*M259</f>
        <v>0.49008000000000007</v>
      </c>
    </row>
    <row r="260" spans="2:14" ht="63.75">
      <c r="B260" s="148" t="s">
        <v>345</v>
      </c>
      <c r="C260" s="149" t="s">
        <v>346</v>
      </c>
      <c r="D260" s="150" t="s">
        <v>30</v>
      </c>
      <c r="E260" s="148" t="s">
        <v>616</v>
      </c>
      <c r="F260" s="143">
        <f>N$261</f>
        <v>2.21145</v>
      </c>
      <c r="G260" s="148" t="s">
        <v>623</v>
      </c>
      <c r="H260" s="150">
        <v>88264</v>
      </c>
      <c r="I260" s="148" t="s">
        <v>574</v>
      </c>
      <c r="J260" s="148" t="s">
        <v>432</v>
      </c>
      <c r="K260" s="148" t="s">
        <v>625</v>
      </c>
      <c r="L260" s="150">
        <v>0.024</v>
      </c>
      <c r="M260" s="150">
        <v>23.23</v>
      </c>
      <c r="N260" s="143">
        <f>L260*M260</f>
        <v>0.55752</v>
      </c>
    </row>
    <row r="261" spans="2:14" ht="15">
      <c r="B261" s="147"/>
      <c r="C261" s="154"/>
      <c r="D261" s="147"/>
      <c r="E261" s="147"/>
      <c r="F261" s="147"/>
      <c r="G261" s="151"/>
      <c r="H261" s="147"/>
      <c r="I261" s="151"/>
      <c r="J261" s="152"/>
      <c r="K261" s="147"/>
      <c r="L261" s="152"/>
      <c r="M261" s="152"/>
      <c r="N261" s="143">
        <f>SUM(N257:N260)</f>
        <v>2.21145</v>
      </c>
    </row>
  </sheetData>
  <mergeCells count="1">
    <mergeCell ref="A2:N2"/>
  </mergeCells>
  <printOptions/>
  <pageMargins left="0.7875" right="0.7875" top="1.05277777777778" bottom="1.05277777777778" header="0.7875" footer="0.7875"/>
  <pageSetup horizontalDpi="300" verticalDpi="300" orientation="portrait" paperSize="9" r:id="rId1"/>
  <headerFooter>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AB38"/>
  <sheetViews>
    <sheetView view="pageBreakPreview" zoomScale="65" zoomScaleSheetLayoutView="65" zoomScalePageLayoutView="65" workbookViewId="0" topLeftCell="A1"/>
  </sheetViews>
  <sheetFormatPr defaultColWidth="9.140625" defaultRowHeight="15"/>
  <cols>
    <col min="1" max="2" width="8.7109375" style="0" customWidth="1"/>
    <col min="3" max="3" width="36.57421875" style="0" customWidth="1"/>
    <col min="4" max="4" width="10.00390625" style="0" customWidth="1"/>
    <col min="5" max="5" width="11.421875" style="0" customWidth="1"/>
    <col min="6" max="6" width="8.7109375" style="0" customWidth="1"/>
    <col min="7" max="7" width="5.28125" style="0" customWidth="1"/>
    <col min="8" max="8" width="0.13671875" style="0" customWidth="1"/>
    <col min="9" max="9" width="38.28125" style="0" hidden="1" customWidth="1"/>
    <col min="10" max="10" width="8.00390625" style="0" hidden="1" customWidth="1"/>
    <col min="11" max="12" width="8.8515625" style="0" hidden="1" customWidth="1"/>
    <col min="13" max="13" width="1.7109375" style="0" hidden="1" customWidth="1"/>
    <col min="14" max="15" width="8.8515625" style="0" hidden="1" customWidth="1"/>
    <col min="16" max="18" width="8.7109375" style="0" customWidth="1"/>
    <col min="19" max="19" width="52.28125" style="0" customWidth="1"/>
    <col min="20" max="20" width="9.57421875" style="0" customWidth="1"/>
    <col min="21" max="1025" width="8.7109375" style="0" customWidth="1"/>
  </cols>
  <sheetData>
    <row r="1" spans="1:24" ht="14.45" customHeight="1">
      <c r="A1" s="274" t="s">
        <v>687</v>
      </c>
      <c r="B1" s="274"/>
      <c r="C1" s="274"/>
      <c r="D1" s="274"/>
      <c r="E1" s="274"/>
      <c r="F1" s="274"/>
      <c r="G1" s="274"/>
      <c r="H1" s="274"/>
      <c r="I1" s="274"/>
      <c r="J1" s="274"/>
      <c r="K1" s="274"/>
      <c r="L1" s="274"/>
      <c r="M1" s="274"/>
      <c r="N1" s="274"/>
      <c r="O1" s="274"/>
      <c r="S1" s="162" t="s">
        <v>688</v>
      </c>
      <c r="T1" s="163"/>
      <c r="U1" s="163"/>
      <c r="V1" s="163"/>
      <c r="W1" s="163"/>
      <c r="X1" s="163"/>
    </row>
    <row r="2" spans="1:15" ht="14.45" customHeight="1">
      <c r="A2" s="274"/>
      <c r="B2" s="274"/>
      <c r="C2" s="274"/>
      <c r="D2" s="274"/>
      <c r="E2" s="274"/>
      <c r="F2" s="274"/>
      <c r="G2" s="274"/>
      <c r="H2" s="274"/>
      <c r="I2" s="274"/>
      <c r="J2" s="274"/>
      <c r="K2" s="274"/>
      <c r="L2" s="274"/>
      <c r="M2" s="274"/>
      <c r="N2" s="274"/>
      <c r="O2" s="274"/>
    </row>
    <row r="3" spans="1:28" ht="15" customHeight="1">
      <c r="A3" s="274"/>
      <c r="B3" s="274"/>
      <c r="C3" s="274"/>
      <c r="D3" s="274"/>
      <c r="E3" s="274"/>
      <c r="F3" s="274"/>
      <c r="G3" s="274"/>
      <c r="H3" s="274"/>
      <c r="I3" s="274"/>
      <c r="J3" s="274"/>
      <c r="K3" s="274"/>
      <c r="L3" s="274"/>
      <c r="M3" s="274"/>
      <c r="N3" s="274"/>
      <c r="O3" s="274"/>
      <c r="S3" s="271" t="s">
        <v>689</v>
      </c>
      <c r="T3" s="273" t="s">
        <v>690</v>
      </c>
      <c r="U3" s="273"/>
      <c r="V3" s="273"/>
      <c r="W3" s="273" t="s">
        <v>691</v>
      </c>
      <c r="X3" s="273"/>
      <c r="Y3" s="273"/>
      <c r="Z3" s="275" t="s">
        <v>692</v>
      </c>
      <c r="AA3" s="275"/>
      <c r="AB3" s="275"/>
    </row>
    <row r="4" spans="2:28" ht="15">
      <c r="B4" t="s">
        <v>693</v>
      </c>
      <c r="S4" s="271"/>
      <c r="T4" s="165" t="s">
        <v>694</v>
      </c>
      <c r="U4" s="166" t="s">
        <v>695</v>
      </c>
      <c r="V4" s="167" t="s">
        <v>696</v>
      </c>
      <c r="W4" s="165" t="s">
        <v>694</v>
      </c>
      <c r="X4" s="166" t="s">
        <v>695</v>
      </c>
      <c r="Y4" s="167" t="s">
        <v>696</v>
      </c>
      <c r="Z4" s="165" t="s">
        <v>694</v>
      </c>
      <c r="AA4" s="166" t="s">
        <v>695</v>
      </c>
      <c r="AB4" s="167" t="s">
        <v>696</v>
      </c>
    </row>
    <row r="5" spans="2:28" ht="15">
      <c r="B5" s="168" t="s">
        <v>697</v>
      </c>
      <c r="C5" s="168"/>
      <c r="D5" s="162"/>
      <c r="E5" s="162"/>
      <c r="M5" s="169"/>
      <c r="N5" s="170"/>
      <c r="S5" s="171" t="s">
        <v>698</v>
      </c>
      <c r="T5" s="172">
        <v>0.03</v>
      </c>
      <c r="U5" s="173">
        <v>0.04</v>
      </c>
      <c r="V5" s="174">
        <v>0.055</v>
      </c>
      <c r="W5" s="175">
        <v>0.008</v>
      </c>
      <c r="X5" s="173">
        <v>0.008</v>
      </c>
      <c r="Y5" s="174">
        <v>0.01</v>
      </c>
      <c r="Z5" s="175">
        <v>0.0097</v>
      </c>
      <c r="AA5" s="176">
        <v>0.0127</v>
      </c>
      <c r="AB5" s="174">
        <v>0.0127</v>
      </c>
    </row>
    <row r="6" spans="19:28" ht="15">
      <c r="S6" s="171" t="s">
        <v>699</v>
      </c>
      <c r="T6" s="172">
        <v>0.038</v>
      </c>
      <c r="U6" s="173">
        <v>0.0401</v>
      </c>
      <c r="V6" s="174">
        <v>0.0467</v>
      </c>
      <c r="W6" s="175">
        <v>0.0032</v>
      </c>
      <c r="X6" s="173">
        <v>0.004</v>
      </c>
      <c r="Y6" s="174">
        <v>0.0074</v>
      </c>
      <c r="Z6" s="175">
        <v>0.005</v>
      </c>
      <c r="AA6" s="176">
        <v>0.0056</v>
      </c>
      <c r="AB6" s="174">
        <v>0.0097</v>
      </c>
    </row>
    <row r="7" spans="1:28" ht="30">
      <c r="A7" s="177"/>
      <c r="B7" s="269" t="s">
        <v>6</v>
      </c>
      <c r="C7" s="270" t="s">
        <v>700</v>
      </c>
      <c r="D7" s="178" t="s">
        <v>701</v>
      </c>
      <c r="E7" s="179" t="s">
        <v>701</v>
      </c>
      <c r="F7" s="180"/>
      <c r="G7" s="181"/>
      <c r="M7" s="182"/>
      <c r="N7" s="183"/>
      <c r="S7" s="184" t="s">
        <v>702</v>
      </c>
      <c r="T7" s="185">
        <v>0.0343</v>
      </c>
      <c r="U7" s="186">
        <v>0.0493</v>
      </c>
      <c r="V7" s="187">
        <v>0.0671</v>
      </c>
      <c r="W7" s="185">
        <v>0.0028</v>
      </c>
      <c r="X7" s="186">
        <v>0.0049</v>
      </c>
      <c r="Y7" s="187">
        <v>0.0075</v>
      </c>
      <c r="Z7" s="185">
        <v>0.01</v>
      </c>
      <c r="AA7" s="186">
        <v>0.0139</v>
      </c>
      <c r="AB7" s="187">
        <v>0.0174</v>
      </c>
    </row>
    <row r="8" spans="1:28" ht="30">
      <c r="A8" s="177"/>
      <c r="B8" s="269"/>
      <c r="C8" s="270"/>
      <c r="D8" s="188" t="s">
        <v>703</v>
      </c>
      <c r="E8" s="189" t="s">
        <v>704</v>
      </c>
      <c r="F8" s="180"/>
      <c r="G8" s="181"/>
      <c r="M8" s="190"/>
      <c r="N8" s="191"/>
      <c r="S8" s="192" t="s">
        <v>705</v>
      </c>
      <c r="T8" s="185">
        <v>0.0529</v>
      </c>
      <c r="U8" s="186">
        <v>0.0592</v>
      </c>
      <c r="V8" s="187">
        <v>0.0793</v>
      </c>
      <c r="W8" s="185">
        <v>0.0025</v>
      </c>
      <c r="X8" s="186">
        <v>0.0051</v>
      </c>
      <c r="Y8" s="187">
        <v>0.0056</v>
      </c>
      <c r="Z8" s="185">
        <v>0.01</v>
      </c>
      <c r="AA8" s="186">
        <v>0.0148</v>
      </c>
      <c r="AB8" s="187">
        <v>0.0197</v>
      </c>
    </row>
    <row r="9" spans="1:28" ht="15">
      <c r="A9" s="177"/>
      <c r="B9" s="193"/>
      <c r="C9" s="194"/>
      <c r="D9" s="195"/>
      <c r="E9" s="196"/>
      <c r="F9" s="180"/>
      <c r="G9" s="181"/>
      <c r="M9" s="190"/>
      <c r="N9" s="191"/>
      <c r="S9" s="171" t="s">
        <v>706</v>
      </c>
      <c r="T9" s="175">
        <v>0.04</v>
      </c>
      <c r="U9" s="173">
        <v>0.0552</v>
      </c>
      <c r="V9" s="174">
        <v>0.0785</v>
      </c>
      <c r="W9" s="197">
        <v>0.81</v>
      </c>
      <c r="X9" s="176">
        <v>0.0122</v>
      </c>
      <c r="Y9" s="174">
        <v>0.0199</v>
      </c>
      <c r="Z9" s="175">
        <v>0.0146</v>
      </c>
      <c r="AA9" s="176">
        <v>0.0232</v>
      </c>
      <c r="AB9" s="174">
        <v>0.0316</v>
      </c>
    </row>
    <row r="10" spans="1:14" ht="15">
      <c r="A10" s="177"/>
      <c r="B10" s="198">
        <v>1</v>
      </c>
      <c r="C10" s="199" t="s">
        <v>707</v>
      </c>
      <c r="D10" s="200" t="s">
        <v>708</v>
      </c>
      <c r="E10" s="201">
        <v>3.8</v>
      </c>
      <c r="F10" s="202"/>
      <c r="G10" s="203"/>
      <c r="M10" s="190"/>
      <c r="N10" s="191"/>
    </row>
    <row r="11" spans="1:26" ht="15">
      <c r="A11" s="177"/>
      <c r="B11" s="204" t="s">
        <v>15</v>
      </c>
      <c r="C11" s="205" t="s">
        <v>709</v>
      </c>
      <c r="D11" s="206" t="s">
        <v>708</v>
      </c>
      <c r="E11" s="207" t="s">
        <v>708</v>
      </c>
      <c r="F11" s="208"/>
      <c r="G11" s="209"/>
      <c r="M11" s="190"/>
      <c r="N11" s="191"/>
      <c r="S11" s="271" t="s">
        <v>689</v>
      </c>
      <c r="T11" s="271"/>
      <c r="U11" s="272" t="s">
        <v>710</v>
      </c>
      <c r="V11" s="272"/>
      <c r="W11" s="272"/>
      <c r="X11" s="273" t="s">
        <v>711</v>
      </c>
      <c r="Y11" s="273"/>
      <c r="Z11" s="273"/>
    </row>
    <row r="12" spans="1:26" ht="15">
      <c r="A12" s="177"/>
      <c r="B12" s="204" t="s">
        <v>712</v>
      </c>
      <c r="C12" s="205" t="s">
        <v>713</v>
      </c>
      <c r="D12" s="206" t="s">
        <v>708</v>
      </c>
      <c r="E12" s="207" t="s">
        <v>708</v>
      </c>
      <c r="F12" s="208"/>
      <c r="G12" s="209"/>
      <c r="M12" s="190"/>
      <c r="N12" s="191"/>
      <c r="S12" s="271"/>
      <c r="T12" s="271"/>
      <c r="U12" s="210" t="s">
        <v>694</v>
      </c>
      <c r="V12" s="211" t="s">
        <v>695</v>
      </c>
      <c r="W12" s="212" t="s">
        <v>696</v>
      </c>
      <c r="X12" s="210" t="s">
        <v>694</v>
      </c>
      <c r="Y12" s="211" t="s">
        <v>695</v>
      </c>
      <c r="Z12" s="164" t="s">
        <v>696</v>
      </c>
    </row>
    <row r="13" spans="1:26" ht="15">
      <c r="A13" s="177"/>
      <c r="B13" s="204" t="s">
        <v>714</v>
      </c>
      <c r="C13" s="205" t="s">
        <v>715</v>
      </c>
      <c r="D13" s="206" t="s">
        <v>708</v>
      </c>
      <c r="E13" s="207" t="s">
        <v>708</v>
      </c>
      <c r="F13" s="208"/>
      <c r="G13" s="209"/>
      <c r="M13" s="190"/>
      <c r="N13" s="191"/>
      <c r="S13" s="267" t="s">
        <v>698</v>
      </c>
      <c r="T13" s="267"/>
      <c r="U13" s="175">
        <v>0.0059</v>
      </c>
      <c r="V13" s="176">
        <v>0.0123</v>
      </c>
      <c r="W13" s="213">
        <v>0.0139</v>
      </c>
      <c r="X13" s="175">
        <v>0.0616</v>
      </c>
      <c r="Y13" s="176">
        <v>0.074</v>
      </c>
      <c r="Z13" s="174">
        <v>0.0896</v>
      </c>
    </row>
    <row r="14" spans="1:26" ht="15">
      <c r="A14" s="177"/>
      <c r="B14" s="214" t="s">
        <v>708</v>
      </c>
      <c r="C14" s="205" t="s">
        <v>708</v>
      </c>
      <c r="D14" s="206" t="s">
        <v>708</v>
      </c>
      <c r="E14" s="207" t="s">
        <v>708</v>
      </c>
      <c r="F14" s="208"/>
      <c r="G14" s="209"/>
      <c r="M14" s="190"/>
      <c r="N14" s="191"/>
      <c r="S14" s="267" t="s">
        <v>699</v>
      </c>
      <c r="T14" s="267"/>
      <c r="U14" s="175">
        <v>0.0102</v>
      </c>
      <c r="V14" s="176">
        <v>0.0111</v>
      </c>
      <c r="W14" s="213">
        <v>0.0121</v>
      </c>
      <c r="X14" s="175">
        <v>0.0664</v>
      </c>
      <c r="Y14" s="176">
        <v>0.073</v>
      </c>
      <c r="Z14" s="174">
        <v>0.0869</v>
      </c>
    </row>
    <row r="15" spans="1:26" ht="15.75" customHeight="1">
      <c r="A15" s="177"/>
      <c r="B15" s="198">
        <v>2</v>
      </c>
      <c r="C15" s="199" t="s">
        <v>716</v>
      </c>
      <c r="D15" s="215">
        <f>SUM(D16:D19)</f>
        <v>10.15</v>
      </c>
      <c r="E15" s="216"/>
      <c r="F15" s="208"/>
      <c r="G15" s="203"/>
      <c r="M15" s="190"/>
      <c r="N15" s="191"/>
      <c r="S15" s="268" t="s">
        <v>702</v>
      </c>
      <c r="T15" s="268"/>
      <c r="U15" s="185">
        <v>0.0094</v>
      </c>
      <c r="V15" s="186">
        <v>0.0099</v>
      </c>
      <c r="W15" s="217">
        <v>0.0117</v>
      </c>
      <c r="X15" s="185">
        <v>0.0674</v>
      </c>
      <c r="Y15" s="186">
        <v>0.0804</v>
      </c>
      <c r="Z15" s="187">
        <v>0.094</v>
      </c>
    </row>
    <row r="16" spans="1:26" ht="15.75" customHeight="1">
      <c r="A16" s="177"/>
      <c r="B16" s="204" t="s">
        <v>20</v>
      </c>
      <c r="C16" s="218" t="s">
        <v>717</v>
      </c>
      <c r="D16" s="206">
        <v>2</v>
      </c>
      <c r="E16" s="207"/>
      <c r="F16" s="208"/>
      <c r="G16" s="209"/>
      <c r="M16" s="190"/>
      <c r="N16" s="191"/>
      <c r="S16" s="268" t="s">
        <v>705</v>
      </c>
      <c r="T16" s="268"/>
      <c r="U16" s="185">
        <v>0.0101</v>
      </c>
      <c r="V16" s="186">
        <v>0.0107</v>
      </c>
      <c r="W16" s="217">
        <v>0.0111</v>
      </c>
      <c r="X16" s="185">
        <v>0.08</v>
      </c>
      <c r="Y16" s="186">
        <v>0.0831</v>
      </c>
      <c r="Z16" s="187">
        <v>0.0951</v>
      </c>
    </row>
    <row r="17" spans="1:26" ht="15">
      <c r="A17" s="177"/>
      <c r="B17" s="204" t="s">
        <v>23</v>
      </c>
      <c r="C17" s="205" t="s">
        <v>718</v>
      </c>
      <c r="D17" s="206">
        <v>0.65</v>
      </c>
      <c r="E17" s="207"/>
      <c r="F17" s="208"/>
      <c r="G17" s="209"/>
      <c r="M17" s="219"/>
      <c r="N17" s="220"/>
      <c r="S17" s="267" t="s">
        <v>706</v>
      </c>
      <c r="T17" s="267"/>
      <c r="U17" s="175">
        <v>0.0094</v>
      </c>
      <c r="V17" s="176">
        <v>0.0102</v>
      </c>
      <c r="W17" s="213">
        <v>0.0133</v>
      </c>
      <c r="X17" s="175">
        <v>0.0714</v>
      </c>
      <c r="Y17" s="176">
        <v>0.084</v>
      </c>
      <c r="Z17" s="174">
        <v>0.1043</v>
      </c>
    </row>
    <row r="18" spans="1:7" ht="15">
      <c r="A18" s="177"/>
      <c r="B18" s="204" t="s">
        <v>26</v>
      </c>
      <c r="C18" s="205" t="s">
        <v>719</v>
      </c>
      <c r="D18" s="221">
        <v>3</v>
      </c>
      <c r="E18" s="207"/>
      <c r="F18" s="208"/>
      <c r="G18" s="222"/>
    </row>
    <row r="19" spans="1:7" ht="15">
      <c r="A19" s="177"/>
      <c r="B19" s="204" t="s">
        <v>28</v>
      </c>
      <c r="C19" s="205" t="s">
        <v>720</v>
      </c>
      <c r="D19" s="206">
        <v>4.5</v>
      </c>
      <c r="E19" s="207"/>
      <c r="F19" s="208"/>
      <c r="G19" s="203"/>
    </row>
    <row r="20" spans="1:26" ht="15" customHeight="1">
      <c r="A20" s="177"/>
      <c r="B20" s="198">
        <v>3</v>
      </c>
      <c r="C20" s="199" t="s">
        <v>721</v>
      </c>
      <c r="D20" s="223" t="s">
        <v>708</v>
      </c>
      <c r="E20" s="216">
        <f>SUM(E21:E23)</f>
        <v>1.77</v>
      </c>
      <c r="F20" s="208"/>
      <c r="G20" s="203"/>
      <c r="S20" s="263" t="s">
        <v>722</v>
      </c>
      <c r="T20" s="263"/>
      <c r="U20" s="263"/>
      <c r="V20" s="263"/>
      <c r="W20" s="263"/>
      <c r="X20" s="263"/>
      <c r="Y20" s="263"/>
      <c r="Z20" s="263"/>
    </row>
    <row r="21" spans="1:26" ht="15">
      <c r="A21" s="177"/>
      <c r="B21" s="204" t="s">
        <v>53</v>
      </c>
      <c r="C21" s="205" t="s">
        <v>723</v>
      </c>
      <c r="D21" s="206"/>
      <c r="E21" s="207">
        <v>0.4</v>
      </c>
      <c r="F21" s="208"/>
      <c r="G21" s="203"/>
      <c r="S21" s="263"/>
      <c r="T21" s="263"/>
      <c r="U21" s="263"/>
      <c r="V21" s="263"/>
      <c r="W21" s="263"/>
      <c r="X21" s="263"/>
      <c r="Y21" s="263"/>
      <c r="Z21" s="263"/>
    </row>
    <row r="22" spans="1:26" ht="15">
      <c r="A22" s="177"/>
      <c r="B22" s="204" t="s">
        <v>724</v>
      </c>
      <c r="C22" s="205" t="s">
        <v>725</v>
      </c>
      <c r="D22" s="206"/>
      <c r="E22" s="207">
        <v>0.97</v>
      </c>
      <c r="F22" s="208"/>
      <c r="G22" s="203"/>
      <c r="S22" s="263"/>
      <c r="T22" s="263"/>
      <c r="U22" s="263"/>
      <c r="V22" s="263"/>
      <c r="W22" s="263"/>
      <c r="X22" s="263"/>
      <c r="Y22" s="263"/>
      <c r="Z22" s="263"/>
    </row>
    <row r="23" spans="1:7" ht="15">
      <c r="A23" s="177"/>
      <c r="B23" s="204" t="s">
        <v>724</v>
      </c>
      <c r="C23" s="205" t="s">
        <v>726</v>
      </c>
      <c r="D23" s="206"/>
      <c r="E23" s="207">
        <v>0.4</v>
      </c>
      <c r="F23" s="208"/>
      <c r="G23" s="203"/>
    </row>
    <row r="24" spans="1:7" ht="15">
      <c r="A24" s="177"/>
      <c r="B24" s="214"/>
      <c r="C24" s="205"/>
      <c r="D24" s="206"/>
      <c r="E24" s="207"/>
      <c r="F24" s="208"/>
      <c r="G24" s="203"/>
    </row>
    <row r="25" spans="1:7" ht="15">
      <c r="A25" s="177"/>
      <c r="B25" s="198">
        <v>4</v>
      </c>
      <c r="C25" s="199" t="s">
        <v>727</v>
      </c>
      <c r="D25" s="223" t="s">
        <v>708</v>
      </c>
      <c r="E25" s="216">
        <v>0.64</v>
      </c>
      <c r="F25" s="208"/>
      <c r="G25" s="203"/>
    </row>
    <row r="26" spans="1:7" ht="15">
      <c r="A26" s="177"/>
      <c r="B26" s="214"/>
      <c r="C26" s="205"/>
      <c r="D26" s="206"/>
      <c r="E26" s="207"/>
      <c r="F26" s="208"/>
      <c r="G26" s="203"/>
    </row>
    <row r="27" spans="1:7" ht="15">
      <c r="A27" s="177"/>
      <c r="B27" s="198">
        <v>5</v>
      </c>
      <c r="C27" s="199" t="s">
        <v>728</v>
      </c>
      <c r="D27" s="224"/>
      <c r="E27" s="216">
        <v>8</v>
      </c>
      <c r="F27" s="208"/>
      <c r="G27" s="203"/>
    </row>
    <row r="28" spans="1:7" ht="15">
      <c r="A28" s="177"/>
      <c r="B28" s="214"/>
      <c r="C28" s="205"/>
      <c r="D28" s="225"/>
      <c r="E28" s="226"/>
      <c r="F28" s="208"/>
      <c r="G28" s="209"/>
    </row>
    <row r="29" spans="1:7" ht="15">
      <c r="A29" s="177"/>
      <c r="B29" s="227" t="s">
        <v>708</v>
      </c>
      <c r="C29" s="228" t="s">
        <v>729</v>
      </c>
      <c r="D29" s="229" t="s">
        <v>708</v>
      </c>
      <c r="E29" s="230">
        <f>ROUND((((1+(E10%+E21%+E22%+E23%))*(1+E25%)*(1+E27%)/(1-D15%))-(1))*100,2)</f>
        <v>27.71</v>
      </c>
      <c r="F29" s="231"/>
      <c r="G29" s="203"/>
    </row>
    <row r="30" spans="1:7" ht="15">
      <c r="A30" s="177"/>
      <c r="B30" s="177"/>
      <c r="C30" s="177"/>
      <c r="D30" s="177"/>
      <c r="E30" s="177"/>
      <c r="F30" s="177"/>
      <c r="G30" s="177"/>
    </row>
    <row r="31" spans="1:7" ht="18">
      <c r="A31" s="177"/>
      <c r="B31" s="232"/>
      <c r="C31" s="232"/>
      <c r="D31" s="232"/>
      <c r="E31" s="232"/>
      <c r="F31" s="232"/>
      <c r="G31" s="177"/>
    </row>
    <row r="32" spans="1:7" ht="18">
      <c r="A32" s="177"/>
      <c r="B32" s="264" t="s">
        <v>730</v>
      </c>
      <c r="C32" s="264"/>
      <c r="D32" s="233">
        <f>ROUND((((1+((E10+E20)/100))*(1+E25/100)*(1+E27/100))/(1-D15/100)-1)*100,2)</f>
        <v>27.71</v>
      </c>
      <c r="E32" s="177"/>
      <c r="F32" s="177"/>
      <c r="G32" s="177"/>
    </row>
    <row r="33" spans="1:7" ht="15">
      <c r="A33" s="177"/>
      <c r="B33" s="265" t="s">
        <v>708</v>
      </c>
      <c r="C33" s="265"/>
      <c r="D33" s="177"/>
      <c r="E33" s="177"/>
      <c r="F33" s="177"/>
      <c r="G33" s="177"/>
    </row>
    <row r="34" spans="1:7" ht="15">
      <c r="A34" s="177"/>
      <c r="B34" s="266" t="s">
        <v>731</v>
      </c>
      <c r="C34" s="266"/>
      <c r="D34" s="266"/>
      <c r="E34" s="266"/>
      <c r="F34" s="266"/>
      <c r="G34" s="266"/>
    </row>
    <row r="35" spans="1:7" ht="15">
      <c r="A35" s="177"/>
      <c r="B35" s="177"/>
      <c r="C35" s="177"/>
      <c r="D35" s="177"/>
      <c r="E35" s="177"/>
      <c r="F35" s="177"/>
      <c r="G35" s="177"/>
    </row>
    <row r="36" spans="1:7" ht="15.75">
      <c r="A36" s="177"/>
      <c r="B36" s="234" t="s">
        <v>732</v>
      </c>
      <c r="C36" s="177"/>
      <c r="D36" s="177"/>
      <c r="E36" s="177"/>
      <c r="F36" s="177"/>
      <c r="G36" s="177"/>
    </row>
    <row r="38" spans="2:5" ht="15">
      <c r="B38" s="235" t="s">
        <v>733</v>
      </c>
      <c r="C38" s="169"/>
      <c r="D38" s="169"/>
      <c r="E38" s="169"/>
    </row>
  </sheetData>
  <mergeCells count="19">
    <mergeCell ref="A1:O3"/>
    <mergeCell ref="S3:S4"/>
    <mergeCell ref="T3:V3"/>
    <mergeCell ref="W3:Y3"/>
    <mergeCell ref="Z3:AB3"/>
    <mergeCell ref="B7:B8"/>
    <mergeCell ref="C7:C8"/>
    <mergeCell ref="S11:T12"/>
    <mergeCell ref="U11:W11"/>
    <mergeCell ref="X11:Z11"/>
    <mergeCell ref="S20:Z22"/>
    <mergeCell ref="B32:C32"/>
    <mergeCell ref="B33:C33"/>
    <mergeCell ref="B34:G34"/>
    <mergeCell ref="S13:T13"/>
    <mergeCell ref="S14:T14"/>
    <mergeCell ref="S15:T15"/>
    <mergeCell ref="S16:T16"/>
    <mergeCell ref="S17:T17"/>
  </mergeCells>
  <printOptions/>
  <pageMargins left="0.511805555555555" right="0.511805555555555" top="0.7875" bottom="0.7875" header="0.511805555555555" footer="0.51180555555555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25"/>
  <sheetViews>
    <sheetView view="pageBreakPreview" zoomScale="65" zoomScaleSheetLayoutView="65" zoomScalePageLayoutView="65" workbookViewId="0" topLeftCell="A1">
      <selection activeCell="H26" sqref="H26"/>
    </sheetView>
  </sheetViews>
  <sheetFormatPr defaultColWidth="9.140625" defaultRowHeight="15"/>
  <cols>
    <col min="1" max="1" width="58.140625" style="0" customWidth="1"/>
    <col min="2" max="2" width="16.140625" style="0" customWidth="1"/>
    <col min="3" max="3" width="9.28125" style="0" customWidth="1"/>
    <col min="4" max="4" width="13.421875" style="0" customWidth="1"/>
    <col min="5" max="5" width="9.28125" style="0" customWidth="1"/>
    <col min="6" max="6" width="13.421875" style="0" customWidth="1"/>
    <col min="7" max="7" width="9.28125" style="0" customWidth="1"/>
    <col min="8" max="8" width="14.8515625" style="0" customWidth="1"/>
    <col min="9" max="1025" width="8.7109375" style="0" customWidth="1"/>
  </cols>
  <sheetData>
    <row r="1" spans="1:8" ht="15">
      <c r="A1" s="236" t="s">
        <v>0</v>
      </c>
      <c r="B1" s="236"/>
      <c r="C1" s="237"/>
      <c r="D1" s="238"/>
      <c r="E1" s="237"/>
      <c r="F1" s="238"/>
      <c r="G1" s="237"/>
      <c r="H1" s="238"/>
    </row>
    <row r="2" spans="1:8" ht="15">
      <c r="A2" s="236"/>
      <c r="B2" s="236"/>
      <c r="C2" s="237"/>
      <c r="D2" s="238"/>
      <c r="E2" s="237"/>
      <c r="F2" s="238"/>
      <c r="G2" s="237"/>
      <c r="H2" s="238"/>
    </row>
    <row r="3" spans="1:8" ht="15">
      <c r="A3" s="236" t="s">
        <v>734</v>
      </c>
      <c r="B3" s="236"/>
      <c r="C3" s="237"/>
      <c r="D3" s="238"/>
      <c r="E3" s="237"/>
      <c r="F3" s="238"/>
      <c r="G3" s="237"/>
      <c r="H3" s="238"/>
    </row>
    <row r="4" spans="1:8" ht="15">
      <c r="A4" s="236"/>
      <c r="B4" s="236"/>
      <c r="C4" s="237"/>
      <c r="D4" s="238"/>
      <c r="E4" s="237"/>
      <c r="F4" s="238"/>
      <c r="G4" s="237"/>
      <c r="H4" s="238"/>
    </row>
    <row r="5" spans="1:8" ht="15">
      <c r="A5" s="236"/>
      <c r="B5" s="236"/>
      <c r="C5" s="237"/>
      <c r="D5" s="238"/>
      <c r="E5" s="237"/>
      <c r="F5" s="238"/>
      <c r="G5" s="237"/>
      <c r="H5" s="238"/>
    </row>
    <row r="6" spans="1:8" ht="15">
      <c r="A6" s="236" t="s">
        <v>735</v>
      </c>
      <c r="B6" s="236"/>
      <c r="C6" s="237"/>
      <c r="D6" s="238"/>
      <c r="E6" s="237"/>
      <c r="F6" s="238"/>
      <c r="G6" s="237"/>
      <c r="H6" s="238"/>
    </row>
    <row r="7" spans="1:8" ht="15">
      <c r="A7" s="236"/>
      <c r="B7" s="236"/>
      <c r="C7" s="237"/>
      <c r="D7" s="238"/>
      <c r="E7" s="237"/>
      <c r="F7" s="238"/>
      <c r="G7" s="237"/>
      <c r="H7" s="238"/>
    </row>
    <row r="8" spans="1:8" ht="15">
      <c r="A8" s="239" t="s">
        <v>736</v>
      </c>
      <c r="B8" s="240" t="s">
        <v>580</v>
      </c>
      <c r="C8" s="276" t="s">
        <v>737</v>
      </c>
      <c r="D8" s="276"/>
      <c r="E8" s="276" t="s">
        <v>738</v>
      </c>
      <c r="F8" s="276"/>
      <c r="G8" s="276" t="s">
        <v>739</v>
      </c>
      <c r="H8" s="276"/>
    </row>
    <row r="9" spans="1:8" ht="15">
      <c r="A9" s="241" t="str">
        <f>Orçamento!C12</f>
        <v>SERVIÇOS INICIAIS</v>
      </c>
      <c r="B9" s="242">
        <f>Orçamento!H14</f>
        <v>1890.1431202499998</v>
      </c>
      <c r="C9" s="243">
        <v>0.33</v>
      </c>
      <c r="D9" s="244">
        <f aca="true" t="shared" si="0" ref="D9:D23">$B9*C9</f>
        <v>623.7472296825</v>
      </c>
      <c r="E9" s="243">
        <v>0.33</v>
      </c>
      <c r="F9" s="244">
        <f aca="true" t="shared" si="1" ref="F9:F23">$B9*E9</f>
        <v>623.7472296825</v>
      </c>
      <c r="G9" s="243">
        <v>0.34</v>
      </c>
      <c r="H9" s="244">
        <f aca="true" t="shared" si="2" ref="H9:H23">$B9*G9</f>
        <v>642.648660885</v>
      </c>
    </row>
    <row r="10" spans="1:8" ht="15">
      <c r="A10" s="241" t="str">
        <f>Orçamento!C15</f>
        <v>DEMOLIÇÕES</v>
      </c>
      <c r="B10" s="242">
        <f>Orçamento!H29</f>
        <v>16150.651822602</v>
      </c>
      <c r="C10" s="243">
        <v>1</v>
      </c>
      <c r="D10" s="244">
        <f t="shared" si="0"/>
        <v>16150.651822602</v>
      </c>
      <c r="E10" s="243"/>
      <c r="F10" s="244">
        <f t="shared" si="1"/>
        <v>0</v>
      </c>
      <c r="G10" s="243"/>
      <c r="H10" s="244">
        <f t="shared" si="2"/>
        <v>0</v>
      </c>
    </row>
    <row r="11" spans="1:8" ht="15">
      <c r="A11" s="241" t="str">
        <f>Orçamento!C30</f>
        <v>PAREDES</v>
      </c>
      <c r="B11" s="242">
        <f>Orçamento!H35</f>
        <v>34653.52627010999</v>
      </c>
      <c r="C11" s="243">
        <v>0.2</v>
      </c>
      <c r="D11" s="244">
        <f t="shared" si="0"/>
        <v>6930.705254021999</v>
      </c>
      <c r="E11" s="243">
        <v>0.6</v>
      </c>
      <c r="F11" s="244">
        <f t="shared" si="1"/>
        <v>20792.115762065994</v>
      </c>
      <c r="G11" s="243">
        <v>0.2</v>
      </c>
      <c r="H11" s="244">
        <f t="shared" si="2"/>
        <v>6930.705254021999</v>
      </c>
    </row>
    <row r="12" spans="1:8" ht="15">
      <c r="A12" s="241" t="str">
        <f>Orçamento!C36</f>
        <v>FORROS</v>
      </c>
      <c r="B12" s="242">
        <f>Orçamento!H39</f>
        <v>55972.79275747501</v>
      </c>
      <c r="C12" s="243">
        <v>1</v>
      </c>
      <c r="D12" s="244">
        <f t="shared" si="0"/>
        <v>55972.79275747501</v>
      </c>
      <c r="E12" s="243"/>
      <c r="F12" s="244">
        <f t="shared" si="1"/>
        <v>0</v>
      </c>
      <c r="G12" s="243"/>
      <c r="H12" s="244">
        <f t="shared" si="2"/>
        <v>0</v>
      </c>
    </row>
    <row r="13" spans="1:8" ht="15">
      <c r="A13" s="241" t="str">
        <f>Orçamento!C40</f>
        <v>PAVIMENTAÇÃO INTERNA</v>
      </c>
      <c r="B13" s="242">
        <f>Orçamento!H48</f>
        <v>174668.64325515</v>
      </c>
      <c r="C13" s="243"/>
      <c r="D13" s="244">
        <f t="shared" si="0"/>
        <v>0</v>
      </c>
      <c r="E13" s="243">
        <v>0.7</v>
      </c>
      <c r="F13" s="244">
        <f t="shared" si="1"/>
        <v>122268.05027860499</v>
      </c>
      <c r="G13" s="243">
        <v>0.3</v>
      </c>
      <c r="H13" s="244">
        <f t="shared" si="2"/>
        <v>52400.592976545</v>
      </c>
    </row>
    <row r="14" spans="1:8" ht="15">
      <c r="A14" s="241" t="str">
        <f>Orçamento!C49</f>
        <v>IMPERMEABILIZAÇÃO</v>
      </c>
      <c r="B14" s="242">
        <f>Orçamento!H55</f>
        <v>6037.5732615</v>
      </c>
      <c r="C14" s="243">
        <v>1</v>
      </c>
      <c r="D14" s="244">
        <f t="shared" si="0"/>
        <v>6037.5732615</v>
      </c>
      <c r="E14" s="243"/>
      <c r="F14" s="244">
        <f t="shared" si="1"/>
        <v>0</v>
      </c>
      <c r="G14" s="243"/>
      <c r="H14" s="244">
        <f t="shared" si="2"/>
        <v>0</v>
      </c>
    </row>
    <row r="15" spans="1:8" ht="15">
      <c r="A15" s="241" t="str">
        <f>Orçamento!C56</f>
        <v>REVESTIMENTOS</v>
      </c>
      <c r="B15" s="242">
        <f>Orçamento!H60</f>
        <v>28286.36619237</v>
      </c>
      <c r="C15" s="243"/>
      <c r="D15" s="244">
        <f t="shared" si="0"/>
        <v>0</v>
      </c>
      <c r="E15" s="243">
        <v>0.8</v>
      </c>
      <c r="F15" s="244">
        <f t="shared" si="1"/>
        <v>22629.092953896</v>
      </c>
      <c r="G15" s="243">
        <v>0.2</v>
      </c>
      <c r="H15" s="244">
        <f t="shared" si="2"/>
        <v>5657.273238474</v>
      </c>
    </row>
    <row r="16" spans="1:8" ht="15">
      <c r="A16" s="241" t="str">
        <f>Orçamento!C61</f>
        <v>ESQUADRIAS</v>
      </c>
      <c r="B16" s="242">
        <f>Orçamento!H66</f>
        <v>69206.227794</v>
      </c>
      <c r="C16" s="243"/>
      <c r="D16" s="244">
        <f t="shared" si="0"/>
        <v>0</v>
      </c>
      <c r="E16" s="243"/>
      <c r="F16" s="244">
        <f t="shared" si="1"/>
        <v>0</v>
      </c>
      <c r="G16" s="243">
        <v>1</v>
      </c>
      <c r="H16" s="244">
        <f t="shared" si="2"/>
        <v>69206.227794</v>
      </c>
    </row>
    <row r="17" spans="1:8" ht="15">
      <c r="A17" s="241" t="str">
        <f>Orçamento!C67</f>
        <v>INSTALAÇÕES HIDROSSANITÁRIAS</v>
      </c>
      <c r="B17" s="242">
        <f>Orçamento!H90</f>
        <v>51573.39493679999</v>
      </c>
      <c r="C17" s="243">
        <v>0.2</v>
      </c>
      <c r="D17" s="244">
        <f t="shared" si="0"/>
        <v>10314.67898736</v>
      </c>
      <c r="E17" s="243">
        <v>0.6</v>
      </c>
      <c r="F17" s="244">
        <f t="shared" si="1"/>
        <v>30944.03696207999</v>
      </c>
      <c r="G17" s="243">
        <v>0.2</v>
      </c>
      <c r="H17" s="244">
        <f t="shared" si="2"/>
        <v>10314.67898736</v>
      </c>
    </row>
    <row r="18" spans="1:8" ht="15">
      <c r="A18" s="241" t="str">
        <f>Orçamento!C91</f>
        <v>INSTALAÇÕES ELÉTRICAS / TELEFONE</v>
      </c>
      <c r="B18" s="242">
        <f>Orçamento!H187</f>
        <v>377344.82639699994</v>
      </c>
      <c r="C18" s="243">
        <v>0.4</v>
      </c>
      <c r="D18" s="244">
        <f t="shared" si="0"/>
        <v>150937.93055879997</v>
      </c>
      <c r="E18" s="243">
        <v>0.4</v>
      </c>
      <c r="F18" s="244">
        <f t="shared" si="1"/>
        <v>150937.93055879997</v>
      </c>
      <c r="G18" s="243">
        <v>0.2</v>
      </c>
      <c r="H18" s="244">
        <f t="shared" si="2"/>
        <v>75468.96527939998</v>
      </c>
    </row>
    <row r="19" spans="1:8" ht="15">
      <c r="A19" s="241" t="str">
        <f>Orçamento!C188</f>
        <v>PINTURA</v>
      </c>
      <c r="B19" s="242">
        <f>Orçamento!H195</f>
        <v>98471.354550525</v>
      </c>
      <c r="C19" s="243">
        <v>0.1</v>
      </c>
      <c r="D19" s="244">
        <f t="shared" si="0"/>
        <v>9847.1354550525</v>
      </c>
      <c r="E19" s="243">
        <v>0.5</v>
      </c>
      <c r="F19" s="244">
        <f t="shared" si="1"/>
        <v>49235.6772752625</v>
      </c>
      <c r="G19" s="243">
        <v>0.4</v>
      </c>
      <c r="H19" s="244">
        <f t="shared" si="2"/>
        <v>39388.54182021</v>
      </c>
    </row>
    <row r="20" spans="1:8" ht="15">
      <c r="A20" s="241" t="str">
        <f>Orçamento!C196</f>
        <v>COMPLEMENTARES</v>
      </c>
      <c r="B20" s="242">
        <f>Orçamento!H210</f>
        <v>42928.025853720006</v>
      </c>
      <c r="C20" s="243"/>
      <c r="D20" s="244">
        <f t="shared" si="0"/>
        <v>0</v>
      </c>
      <c r="E20" s="243">
        <v>0.2</v>
      </c>
      <c r="F20" s="244">
        <f t="shared" si="1"/>
        <v>8585.605170744002</v>
      </c>
      <c r="G20" s="243">
        <v>0.8</v>
      </c>
      <c r="H20" s="244">
        <f t="shared" si="2"/>
        <v>34342.42068297601</v>
      </c>
    </row>
    <row r="21" spans="1:8" ht="15">
      <c r="A21" s="241" t="str">
        <f>Orçamento!C220</f>
        <v>MOVIMENTAÇÃO DE TERRA</v>
      </c>
      <c r="B21" s="242">
        <f>Orçamento!H224</f>
        <v>8251.04745135</v>
      </c>
      <c r="C21" s="243"/>
      <c r="D21" s="244">
        <f t="shared" si="0"/>
        <v>0</v>
      </c>
      <c r="E21" s="243">
        <v>1</v>
      </c>
      <c r="F21" s="244">
        <f t="shared" si="1"/>
        <v>8251.04745135</v>
      </c>
      <c r="G21" s="243"/>
      <c r="H21" s="244">
        <f t="shared" si="2"/>
        <v>0</v>
      </c>
    </row>
    <row r="22" spans="1:8" ht="15">
      <c r="A22" s="241" t="str">
        <f>Orçamento!C211</f>
        <v>REDE DE GASES MEDICINAIS</v>
      </c>
      <c r="B22" s="242">
        <f>Orçamento!H219</f>
        <v>46615.08407094</v>
      </c>
      <c r="C22" s="243">
        <v>0.1</v>
      </c>
      <c r="D22" s="244">
        <f t="shared" si="0"/>
        <v>4661.508407094</v>
      </c>
      <c r="E22" s="243">
        <v>0.7</v>
      </c>
      <c r="F22" s="244">
        <f t="shared" si="1"/>
        <v>32630.558849658</v>
      </c>
      <c r="G22" s="243">
        <v>0.2</v>
      </c>
      <c r="H22" s="244">
        <f t="shared" si="2"/>
        <v>9323.016814188</v>
      </c>
    </row>
    <row r="23" spans="1:8" ht="15">
      <c r="A23" s="241" t="str">
        <f>Orçamento!C225</f>
        <v>ADMINISTRAÇÃO LOCAL</v>
      </c>
      <c r="B23" s="242">
        <f>Orçamento!H228</f>
        <v>126668.90808</v>
      </c>
      <c r="C23" s="243">
        <v>0.33</v>
      </c>
      <c r="D23" s="244">
        <f t="shared" si="0"/>
        <v>41800.7396664</v>
      </c>
      <c r="E23" s="243">
        <v>0.33</v>
      </c>
      <c r="F23" s="244">
        <f t="shared" si="1"/>
        <v>41800.7396664</v>
      </c>
      <c r="G23" s="243">
        <v>0.34</v>
      </c>
      <c r="H23" s="244">
        <f t="shared" si="2"/>
        <v>43067.4287472</v>
      </c>
    </row>
    <row r="24" spans="1:8" ht="15">
      <c r="A24" s="239" t="s">
        <v>580</v>
      </c>
      <c r="B24" s="245">
        <f>SUM(B9:B23)</f>
        <v>1138718.565813792</v>
      </c>
      <c r="C24" s="246"/>
      <c r="D24" s="247">
        <f>SUM(D9:D23)</f>
        <v>303277.46339998796</v>
      </c>
      <c r="E24" s="246"/>
      <c r="F24" s="247">
        <f>SUM(F9:F23)</f>
        <v>488698.60215854394</v>
      </c>
      <c r="G24" s="246"/>
      <c r="H24" s="247">
        <f>SUM(H9:H23)</f>
        <v>346742.50025526</v>
      </c>
    </row>
    <row r="25" spans="1:8" ht="15">
      <c r="A25" s="239" t="s">
        <v>740</v>
      </c>
      <c r="B25" s="248"/>
      <c r="C25" s="246"/>
      <c r="D25" s="247">
        <f>D24</f>
        <v>303277.46339998796</v>
      </c>
      <c r="E25" s="246"/>
      <c r="F25" s="247">
        <f>F24+D25</f>
        <v>791976.0655585319</v>
      </c>
      <c r="G25" s="246"/>
      <c r="H25" s="247">
        <f>H24+F25</f>
        <v>1138718.565813792</v>
      </c>
    </row>
  </sheetData>
  <mergeCells count="3">
    <mergeCell ref="C8:D8"/>
    <mergeCell ref="E8:F8"/>
    <mergeCell ref="G8:H8"/>
  </mergeCells>
  <printOptions/>
  <pageMargins left="0.511805555555555" right="0.511805555555555" top="0.7875" bottom="0.7875" header="0.511805555555555" footer="0.511805555555555"/>
  <pageSetup fitToHeight="1" fitToWidth="1" horizontalDpi="300" verticalDpi="3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paula massochin</dc:creator>
  <cp:keywords/>
  <dc:description/>
  <cp:lastModifiedBy>pedro.muller</cp:lastModifiedBy>
  <cp:lastPrinted>2022-05-04T16:56:05Z</cp:lastPrinted>
  <dcterms:created xsi:type="dcterms:W3CDTF">2022-02-11T12:40:40Z</dcterms:created>
  <dcterms:modified xsi:type="dcterms:W3CDTF">2023-02-03T13:28:34Z</dcterms:modified>
  <cp:category/>
  <cp:version/>
  <cp:contentType/>
  <cp:contentStatus/>
  <cp:revision>55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