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0" yWindow="0" windowWidth="16380" windowHeight="8190" tabRatio="500" activeTab="0"/>
  </bookViews>
  <sheets>
    <sheet name="Orçamento" sheetId="3" r:id="rId1"/>
    <sheet name="Encargos Sociais" sheetId="6" r:id="rId2"/>
    <sheet name="Composições" sheetId="4" r:id="rId3"/>
    <sheet name="Composições Elétricas" sheetId="5" r:id="rId4"/>
    <sheet name="Cálculo BDI" sheetId="7" r:id="rId5"/>
    <sheet name="Cronograma" sheetId="8" r:id="rId6"/>
  </sheets>
  <definedNames>
    <definedName name="_xlnm.Print_Area" localSheetId="4">'Cálculo BDI'!$A$1:$O$42</definedName>
    <definedName name="_xlnm.Print_Area" localSheetId="5">'Cronograma'!$A$1:$J$25</definedName>
    <definedName name="_xlnm.Print_Area" localSheetId="0">'Orçamento'!$A$1:$H$207</definedName>
  </definedNames>
  <calcPr calcId="125725"/>
  <extLst/>
</workbook>
</file>

<file path=xl/sharedStrings.xml><?xml version="1.0" encoding="utf-8"?>
<sst xmlns="http://schemas.openxmlformats.org/spreadsheetml/2006/main" count="2681" uniqueCount="664">
  <si>
    <t>PLANILHA ORÇAMENTÁRIA</t>
  </si>
  <si>
    <t>Endereço: Rua Pinheiro Machado, 331 - Bairro Dihel - Sapucaia do Sul/RS</t>
  </si>
  <si>
    <t>Item</t>
  </si>
  <si>
    <t>Código</t>
  </si>
  <si>
    <t>Descrição</t>
  </si>
  <si>
    <t>Quantidade Contrato</t>
  </si>
  <si>
    <t>Un</t>
  </si>
  <si>
    <t>Vlr. Unitário</t>
  </si>
  <si>
    <t>Unit. Contrato c/ BDI</t>
  </si>
  <si>
    <t>Total contrato (c/BDI)</t>
  </si>
  <si>
    <t>SERVIÇOS INICIAIS</t>
  </si>
  <si>
    <t>1.1</t>
  </si>
  <si>
    <t>1.2</t>
  </si>
  <si>
    <t>M2</t>
  </si>
  <si>
    <t>1.3</t>
  </si>
  <si>
    <t>COTAÇÃO</t>
  </si>
  <si>
    <t xml:space="preserve">                                                     Total do Grupo</t>
  </si>
  <si>
    <t>DEMOLIÇÕES</t>
  </si>
  <si>
    <t>2.1</t>
  </si>
  <si>
    <t>M3</t>
  </si>
  <si>
    <t>2.2</t>
  </si>
  <si>
    <t>2.3</t>
  </si>
  <si>
    <t>2.4</t>
  </si>
  <si>
    <t>3.1</t>
  </si>
  <si>
    <t>COMPOSIÇÃO 1</t>
  </si>
  <si>
    <t>3.2</t>
  </si>
  <si>
    <t>COMPOSIÇÃO 2</t>
  </si>
  <si>
    <t>3.3</t>
  </si>
  <si>
    <t>COMPOSIÇÃO 3</t>
  </si>
  <si>
    <t>3.4</t>
  </si>
  <si>
    <t>COMPOSIÇÃO 4</t>
  </si>
  <si>
    <t>PAVIMENTAÇÃO INTERNA</t>
  </si>
  <si>
    <t>4.1</t>
  </si>
  <si>
    <t>M</t>
  </si>
  <si>
    <t>5.1</t>
  </si>
  <si>
    <t>FORROS</t>
  </si>
  <si>
    <t>6.1</t>
  </si>
  <si>
    <t>6.2</t>
  </si>
  <si>
    <t>REVESTIMENTOS</t>
  </si>
  <si>
    <t>7.1</t>
  </si>
  <si>
    <t>7.2</t>
  </si>
  <si>
    <t>7.3</t>
  </si>
  <si>
    <t>ESQUADRIAS</t>
  </si>
  <si>
    <t>8.1</t>
  </si>
  <si>
    <t>UN</t>
  </si>
  <si>
    <t>COMPOSIÇÃO 6</t>
  </si>
  <si>
    <t>COMPOSIÇÃO 7</t>
  </si>
  <si>
    <t>COMPOSIÇÃO 8</t>
  </si>
  <si>
    <t>COMPOSIÇÃO 9</t>
  </si>
  <si>
    <t>COMPOSIÇÃO 10</t>
  </si>
  <si>
    <t>COMPOSIÇÃO 11</t>
  </si>
  <si>
    <t>CAIXILHO FIXO, DE ALUMÍNIO, PARA VIDRO (VISOR nas paredes e portas)</t>
  </si>
  <si>
    <t>9.1</t>
  </si>
  <si>
    <t>INSTALAÇÕES HIDROSSANITÁRIAS</t>
  </si>
  <si>
    <t>ESGOTO</t>
  </si>
  <si>
    <t>10.1</t>
  </si>
  <si>
    <t>10.2</t>
  </si>
  <si>
    <t>10.3</t>
  </si>
  <si>
    <t>10.4</t>
  </si>
  <si>
    <t>10.5</t>
  </si>
  <si>
    <t>10.6</t>
  </si>
  <si>
    <t>10.7</t>
  </si>
  <si>
    <t>10.8</t>
  </si>
  <si>
    <t>10.9</t>
  </si>
  <si>
    <t>10.10</t>
  </si>
  <si>
    <t>10.11</t>
  </si>
  <si>
    <t>10.12</t>
  </si>
  <si>
    <t>10.13</t>
  </si>
  <si>
    <t>10.14</t>
  </si>
  <si>
    <t>10.15</t>
  </si>
  <si>
    <t>10.16</t>
  </si>
  <si>
    <t>10.17</t>
  </si>
  <si>
    <t>10.18</t>
  </si>
  <si>
    <t>10.19</t>
  </si>
  <si>
    <t>10.20</t>
  </si>
  <si>
    <t>10.21</t>
  </si>
  <si>
    <t>10.22</t>
  </si>
  <si>
    <t>10.23</t>
  </si>
  <si>
    <t>INSTALAÇÕES ELÉTRICAS / TELEFONE</t>
  </si>
  <si>
    <t>11.1</t>
  </si>
  <si>
    <t>PT</t>
  </si>
  <si>
    <t>11.2</t>
  </si>
  <si>
    <t>11.3</t>
  </si>
  <si>
    <t>11.4</t>
  </si>
  <si>
    <t>11.5</t>
  </si>
  <si>
    <t>PINTURA</t>
  </si>
  <si>
    <t>12.1</t>
  </si>
  <si>
    <t>12.2</t>
  </si>
  <si>
    <t>12.3</t>
  </si>
  <si>
    <t>12.4</t>
  </si>
  <si>
    <t>12.5</t>
  </si>
  <si>
    <t>12.6</t>
  </si>
  <si>
    <t>COMPLEMENTARES</t>
  </si>
  <si>
    <t>13.1</t>
  </si>
  <si>
    <t>13.2</t>
  </si>
  <si>
    <t>13.3</t>
  </si>
  <si>
    <t>13.4</t>
  </si>
  <si>
    <t>COMPOSIÇÃO 12</t>
  </si>
  <si>
    <t>13.5</t>
  </si>
  <si>
    <t>13.6</t>
  </si>
  <si>
    <t>13.7</t>
  </si>
  <si>
    <t>13.8</t>
  </si>
  <si>
    <t>13.9</t>
  </si>
  <si>
    <t>REDE DE GASES MEDICINAIS</t>
  </si>
  <si>
    <t>13.10</t>
  </si>
  <si>
    <t>13.11</t>
  </si>
  <si>
    <t>ADMINISTRAÇÃO LOCAL</t>
  </si>
  <si>
    <t>14.1</t>
  </si>
  <si>
    <t>COMPOSIÇÃO</t>
  </si>
  <si>
    <t>TOTAL DO ORÇAMENTO</t>
  </si>
  <si>
    <t>FUNDAÇÃO HOSPITALAR GETÚLIO VARGAS</t>
  </si>
  <si>
    <t>KG</t>
  </si>
  <si>
    <t xml:space="preserve"> </t>
  </si>
  <si>
    <t>COMPOSIÇÃO IE.1</t>
  </si>
  <si>
    <t>COMPOSIÇÃO IE.2</t>
  </si>
  <si>
    <t>COMPOSIÇÃO IE.3</t>
  </si>
  <si>
    <t>SAIDA GALVANIZADA ELETROCALHA PARA ELETRODUTO 1” - FORNECIMENTO E INSTALAÇÃO.</t>
  </si>
  <si>
    <t>COMPOSIÇÃO IE.4</t>
  </si>
  <si>
    <t>COMPOSIÇÃO IE.5</t>
  </si>
  <si>
    <t>COMPOSIÇÃO IE.6</t>
  </si>
  <si>
    <t>COMPOSIÇÃO IE.7</t>
  </si>
  <si>
    <t>COMPOSIÇÃO IE.8</t>
  </si>
  <si>
    <t>COMPOSIÇÃO IE.9</t>
  </si>
  <si>
    <t>COMPOSIÇÃO IE.10</t>
  </si>
  <si>
    <t>INSTALAÇÕES DE REDE DE DADOS (LÓGICA)</t>
  </si>
  <si>
    <t>COMPOSIÇÃO IE.11</t>
  </si>
  <si>
    <t>TE PARA ELETROCALHA, LISA OU PERFURADA EM AÇO GALVANIZADO, LARGURA DE 100MM E ALTURA DE 50MM - FORNECIMENTO E INSTALAÇÃO.</t>
  </si>
  <si>
    <t>COMPOSIÇÃO IE.12</t>
  </si>
  <si>
    <t>COMPOSIÇÃO IE.14</t>
  </si>
  <si>
    <t>COMPOSIÇÃO IE.15</t>
  </si>
  <si>
    <t>RACK FECHADO 5U COM PORTA - FORNECIMENTO E INSTALAÇÃO.</t>
  </si>
  <si>
    <t>COMPOSIÇÃO IE.16</t>
  </si>
  <si>
    <t>CABO DE FIBRA ÓPTICA - FORNECIMENTO E INSTALAÇÃO.</t>
  </si>
  <si>
    <t>COMPOSIÇÃO IE.17</t>
  </si>
  <si>
    <t>CONECTORIZAÇÃO PONTO FIBRA ÓPTICA</t>
  </si>
  <si>
    <t>H</t>
  </si>
  <si>
    <t>Sapucaia do Sul, 20 de maio de 2022.</t>
  </si>
  <si>
    <t>INSUMO</t>
  </si>
  <si>
    <t>37586</t>
  </si>
  <si>
    <t>PINO DE ACO COM ARRUELA CONICA, DIAMETRO ARRUELA = *23* MM E COMP HASTE = *27* MM (ACAO INDIRETA)</t>
  </si>
  <si>
    <t>CENTO</t>
  </si>
  <si>
    <t>39419</t>
  </si>
  <si>
    <t>PERFIL GUIA, FORMATO U, EM ACO ZINCADO, PARA ESTRUTURA PAREDE DRYWALL, E = 0,5 MM, 70 X 3000 MM (L X C)</t>
  </si>
  <si>
    <t>39422</t>
  </si>
  <si>
    <t>PERFIL MONTANTE, FORMATO C, EM ACO ZINCADO, PARA ESTRUTURA PAREDE DRYWALL, E = 0,5 MM, 70 X 3000 MM (L X C)</t>
  </si>
  <si>
    <t>39431</t>
  </si>
  <si>
    <t>FITA DE PAPEL MICROPERFURADO, 50 X 150 MM, PARA TRATAMENTO DE JUNTAS DE CHAPA DE GESSO PARA DRYWALL</t>
  </si>
  <si>
    <t>39432</t>
  </si>
  <si>
    <t>FITA DE PAPEL REFORCADA COM LAMINA DE METAL PARA REFORCO DE CANTOS DE CHAPA DE GESSO PARA DRYWALL</t>
  </si>
  <si>
    <t>39434</t>
  </si>
  <si>
    <t>39435</t>
  </si>
  <si>
    <t>PARAFUSO DRY WALL, EM ACO FOSFATIZADO, CABECA TROMBETA E PONTA AGULHA (TA), COMPRIMENTO 25 MM</t>
  </si>
  <si>
    <t>39443</t>
  </si>
  <si>
    <t>PARAFUSO DRY WALL, EM ACO ZINCADO, CABECA LENTILHA E PONTA BROCA (LB), LARGURA 4,2 MM, COMPRIMENTO 13 MM</t>
  </si>
  <si>
    <t>COMPOSICAO</t>
  </si>
  <si>
    <t>88278</t>
  </si>
  <si>
    <t>MONTADOR DE ESTRUTURA METÁLICA COM ENCARGOS COMPLEMENTARES</t>
  </si>
  <si>
    <t>88316</t>
  </si>
  <si>
    <t>SERVENTE COM ENCARGOS COMPLEMENTARES</t>
  </si>
  <si>
    <t>ELETRICISTA COM ENCARGOS COMPLEMENTARES</t>
  </si>
  <si>
    <t>PEDREIRO COM ENCARGOS COMPLEMENTARES</t>
  </si>
  <si>
    <t>ENCANADOR OU BOMBEIRO HIDRÁULICO COM ENCARGOS COMPLEMENTARES</t>
  </si>
  <si>
    <t>TOTAL</t>
  </si>
  <si>
    <t>TUBO EM COBRE RÍGIDO, DN 15 MM, CLASSE A, SEM ISOLAMENTO, INSTALADO EM RAMAL E SUB-RAMAL  FORNECIMENTO E INSTALAÇÃO. AF_12/2015</t>
  </si>
  <si>
    <t>39747</t>
  </si>
  <si>
    <t>TUBO DE COBRE CLASSE "A", DN = 1/2 " (15 MM), PARA INSTALACOES DE MEDIA PRESSAO PARA GASES COMBUSTIVEIS E MEDICINAIS</t>
  </si>
  <si>
    <t>88248</t>
  </si>
  <si>
    <t>AUXILIAR DE ENCANADOR OU BOMBEIRO HIDRÁULICO COM ENCARGOS COMPLEMENTARES</t>
  </si>
  <si>
    <t>88267</t>
  </si>
  <si>
    <t>12732</t>
  </si>
  <si>
    <t>SOLDA ESTANHO/COBRE PARA CONEXOES DE COBRE, FIO 2,5 MM, CARRETEL 500 GR (SEM CHUMBO)</t>
  </si>
  <si>
    <t>38383</t>
  </si>
  <si>
    <t>LIXA D'AGUA EM FOLHA, GRAO 100</t>
  </si>
  <si>
    <t>39897</t>
  </si>
  <si>
    <t>PASTA PARA SOLDA DE TUBOS E CONEXOES DE COBRE (EMBALAGEM COM 250 G)</t>
  </si>
  <si>
    <t>TUBO EM COBRE RÍGIDO, DN 22 MM, CLASSE A, SEM ISOLAMENTO, INSTALADO EM RAMAL E SUB-RAMAL  FORNECIMENTO E INSTALAÇÃO. AF_12/2015</t>
  </si>
  <si>
    <t>39748</t>
  </si>
  <si>
    <t>TUBO DE COBRE CLASSE "A", DN = 3/4 " (22 MM), PARA INSTALACOES DE MEDIA PRESSAO PARA GASES COMBUSTIVEIS E MEDICINAIS</t>
  </si>
  <si>
    <t>39728</t>
  </si>
  <si>
    <t>TUBO DE COBRE CLASSE "I", DN = 1 1/2 " (42 MM), PARA INSTALACOES INDUSTRIAIS DE ALTA PRESSAO E VAPOR</t>
  </si>
  <si>
    <t>COMPOSIÇÕES</t>
  </si>
  <si>
    <t>CÓDIGO</t>
  </si>
  <si>
    <t>MATERIAL</t>
  </si>
  <si>
    <t>ORIGEM</t>
  </si>
  <si>
    <t>PREÇO</t>
  </si>
  <si>
    <t>TIPO</t>
  </si>
  <si>
    <t>QTDE</t>
  </si>
  <si>
    <t>PREÇO UN</t>
  </si>
  <si>
    <t>PREÇO TOT</t>
  </si>
  <si>
    <t>COEFICIENTE DE REPRESENTATIVIDADE</t>
  </si>
  <si>
    <t>AUXILIAR DE ELETRICISTA COM ENCARGOS COMPLEMENTARES</t>
  </si>
  <si>
    <t>COLETADO</t>
  </si>
  <si>
    <t>-</t>
  </si>
  <si>
    <t>ELETROCALHA LISA OU PERFURADA EM CHAPA DE
AÇO GALVANIZADO, LARGURA 100 MM E ALTURA 50
MM, ESPESSURA #18</t>
  </si>
  <si>
    <t>02.INEL.ELCA.012/01</t>
  </si>
  <si>
    <t xml:space="preserve">EMENDA PARA ELETROCALHA, LISA OU
PERFURADA EM AÇO GALVANIZADO, LARGURA DE
100MM E ALTURA DE 50MM - FORNECIMENTO E
INSTALAÇÃO. </t>
  </si>
  <si>
    <t>PERFILADO DE SEÇÃO 38X76 MM PARA SUPORTE
DE ELETROCALHA LISA OU PERFURADA EM AÇO
GALVANIZADO, LARGURA 100 MM E ALTURA 50 MM. AF_07/2017</t>
  </si>
  <si>
    <t>TAMPA ELETROCALHA LARGURA 100 MM</t>
  </si>
  <si>
    <t>AUXILIAR DE ELETRICISTA COM ENCARGOS
COMPLEMENTARES</t>
  </si>
  <si>
    <t>COMPOSIÇÃO X</t>
  </si>
  <si>
    <t>TALA PARA EMENDA DE ELETROCALHA LISA OU
PERFURADA</t>
  </si>
  <si>
    <t>PARAFUSO CABEÇA LENTILHA ¼” X ¾”</t>
  </si>
  <si>
    <t>ARRUELA SIMPLES ¼”</t>
  </si>
  <si>
    <t>PORCA SEXTAVADA ¼”</t>
  </si>
  <si>
    <t>LUMINÁRIA FECHADA TIPO CALHA, DE EMBUTIR</t>
  </si>
  <si>
    <t>LAMPADA LED TUBULAR BIVOLT 9/10 W, BASE G13</t>
  </si>
  <si>
    <t>TERMINAL A COMPRESSAO EM COBRE ESTANHADO PARA CABO 25 MM2, 1 FURO E 1 COMPRESSAO, PARA PARAFUSO DE FIXACAO M8</t>
  </si>
  <si>
    <t>TE PARA ELETROCALHA, LISA OU PERFURADA EM AÇO GALVANIZADO, LARGURA DE 100MM E ALTURA DE 50MM</t>
  </si>
  <si>
    <t>CURVA VERTICAL 90º, PARA ELETROCALHA, LISA
OU PERFURADA EM AÇO GALVANIZADO, LARGURA
DE 100MM E ALTURA DE 50MM</t>
  </si>
  <si>
    <t>RACK FECHADO 5U COM PORTA</t>
  </si>
  <si>
    <t>CABO OPTICO CFOT-MM50-EO-06FO COG</t>
  </si>
  <si>
    <t>ENCARGOS SOCIAIS SOBRE A MÃO DE OBRA - DESONERADO - (ANEXO 6)</t>
  </si>
  <si>
    <t>CODIGO</t>
  </si>
  <si>
    <t>DESCRIÇÃO</t>
  </si>
  <si>
    <t>HORISTA</t>
  </si>
  <si>
    <t>MENSALISTA</t>
  </si>
  <si>
    <t>GRUPO – A</t>
  </si>
  <si>
    <t>A1</t>
  </si>
  <si>
    <t>INSS</t>
  </si>
  <si>
    <t>A2</t>
  </si>
  <si>
    <t>SESI</t>
  </si>
  <si>
    <t>A3</t>
  </si>
  <si>
    <t>SENAI</t>
  </si>
  <si>
    <t>A4</t>
  </si>
  <si>
    <t>INCRA</t>
  </si>
  <si>
    <t>A5</t>
  </si>
  <si>
    <t>SEBRAE</t>
  </si>
  <si>
    <t>A6</t>
  </si>
  <si>
    <t>Salário Educação</t>
  </si>
  <si>
    <t>A7</t>
  </si>
  <si>
    <t>Seguro Contra Acidentes do Trabalho</t>
  </si>
  <si>
    <t>A8</t>
  </si>
  <si>
    <t>FGTS</t>
  </si>
  <si>
    <t>A9</t>
  </si>
  <si>
    <t>SICONCI</t>
  </si>
  <si>
    <t xml:space="preserve">SUB-TOTAL </t>
  </si>
  <si>
    <t xml:space="preserve">GRUPO - B </t>
  </si>
  <si>
    <t>B1</t>
  </si>
  <si>
    <t>Repouso Semanal Renumerado</t>
  </si>
  <si>
    <t>Não incide</t>
  </si>
  <si>
    <t>B2</t>
  </si>
  <si>
    <t>Feriados</t>
  </si>
  <si>
    <t>B3</t>
  </si>
  <si>
    <t>Auxílio - Enfermidade</t>
  </si>
  <si>
    <t>B4</t>
  </si>
  <si>
    <t>13º Salário</t>
  </si>
  <si>
    <t>B5</t>
  </si>
  <si>
    <t>Licença Paternidade</t>
  </si>
  <si>
    <t>B6</t>
  </si>
  <si>
    <t>Faltas Justificadas</t>
  </si>
  <si>
    <t>B7</t>
  </si>
  <si>
    <t>Dias de Chuvas</t>
  </si>
  <si>
    <t>B8</t>
  </si>
  <si>
    <t>Auxilio Acidente de Trabalho</t>
  </si>
  <si>
    <t>B9</t>
  </si>
  <si>
    <t>Férias Gozadas</t>
  </si>
  <si>
    <t>B10</t>
  </si>
  <si>
    <t>Salario Maternidade</t>
  </si>
  <si>
    <t>SUB-TOTAL</t>
  </si>
  <si>
    <t xml:space="preserve">GRUPO - C </t>
  </si>
  <si>
    <t>C1</t>
  </si>
  <si>
    <t>Aviso Prévio Indenizado</t>
  </si>
  <si>
    <t>C2</t>
  </si>
  <si>
    <t>Aviso Prévio Trabalhado</t>
  </si>
  <si>
    <t>C3</t>
  </si>
  <si>
    <t>Férias Indenizadas</t>
  </si>
  <si>
    <t>C4</t>
  </si>
  <si>
    <t>Depósito Rescisão Sem Justa Causa</t>
  </si>
  <si>
    <t>C5</t>
  </si>
  <si>
    <t>Indenização Adicional</t>
  </si>
  <si>
    <t xml:space="preserve">GRUPO - D </t>
  </si>
  <si>
    <t>D1</t>
  </si>
  <si>
    <t>Reincidência de Grupo A sobre Grupo B</t>
  </si>
  <si>
    <t>D2</t>
  </si>
  <si>
    <t>Reincidência de Grupo A sobre Aviso Prévio Trabalhado e Reincidência do FGTS sobre Aviso Prévio Indenizado</t>
  </si>
  <si>
    <t>TOTAL (A+B+C+D)</t>
  </si>
  <si>
    <t>PLANILHA DE CÁLCULO DE BDI</t>
  </si>
  <si>
    <t>Parâmetro referenciais das rubricas que compõem o BDI:</t>
  </si>
  <si>
    <t>TIPOS DE OBRA</t>
  </si>
  <si>
    <t>ADMINISTRAÇÃO CENTRAL</t>
  </si>
  <si>
    <t>SEGURO + GARANTIA</t>
  </si>
  <si>
    <t>RISCO</t>
  </si>
  <si>
    <t>Tipo de Obra: 2 - Construção de Rodovias e ferrovias</t>
  </si>
  <si>
    <t>1º Quartil</t>
  </si>
  <si>
    <t>Médio</t>
  </si>
  <si>
    <t>3º Quartil</t>
  </si>
  <si>
    <t>DETALHAMENTO DO BDI</t>
  </si>
  <si>
    <t>CONSTRUÇÃO DE EDIFÍCIOS</t>
  </si>
  <si>
    <t>CONSTRUÇÃO DE RODOVIAS E FERROVIAS</t>
  </si>
  <si>
    <t>Descrição dos Serviços</t>
  </si>
  <si>
    <t>%</t>
  </si>
  <si>
    <t>CONSTRUÇÃO DE REDES DE ABASTECIMENTO DE ÁGUA, COLETA DE ESGOTO E CONSTRUÇÕES CORRELATAS</t>
  </si>
  <si>
    <t>PV</t>
  </si>
  <si>
    <t>CD</t>
  </si>
  <si>
    <t>CONSTRUÇÃO E MANUTENÇÃO DE ESTAÇÕES E REDES DE DISTRIBUIÇÃO DE ENERGIA ELÉTRICA</t>
  </si>
  <si>
    <t>OBRAS PORTUÁRIAS, MARÍTIMAS E FLUVIAIS</t>
  </si>
  <si>
    <t>ADMINISTRAÇÃO CENTRAL - AC</t>
  </si>
  <si>
    <t>ESCRITÓRIO CENTRAL</t>
  </si>
  <si>
    <t>DESPESA FINANCEIRA</t>
  </si>
  <si>
    <t>LUCRO</t>
  </si>
  <si>
    <t>VIAGENS</t>
  </si>
  <si>
    <t>OUTROS</t>
  </si>
  <si>
    <t>IMPOSTOS E TAXAS - I</t>
  </si>
  <si>
    <t>ISS</t>
  </si>
  <si>
    <t>PIS</t>
  </si>
  <si>
    <t>Cofins</t>
  </si>
  <si>
    <t>Desoneração</t>
  </si>
  <si>
    <t>TAXA DE RISCO</t>
  </si>
  <si>
    <r>
      <rPr>
        <b/>
        <sz val="11"/>
        <color theme="1"/>
        <rFont val="Calibri"/>
        <family val="2"/>
        <scheme val="minor"/>
      </rPr>
      <t>OBS:</t>
    </r>
    <r>
      <rPr>
        <sz val="11"/>
        <color rgb="FF000000"/>
        <rFont val="Calibri"/>
        <family val="2"/>
      </rPr>
      <t xml:space="preserve"> Estão sujeitos ao regime cumulativo para fins de incidência da contribuição para o PIS-Pasep e da Cofins, às alíquotas de 0,65% e de 3%, respectivamente.  Quanto ao ISS, a alíquota e o local do recolhimento variará de acordo com o sistema tributário da empresa, local e tipo do serviço.</t>
    </r>
  </si>
  <si>
    <t>SEGURO - S</t>
  </si>
  <si>
    <t>RISCO - R</t>
  </si>
  <si>
    <t>GARANTIA - G</t>
  </si>
  <si>
    <t>DESPESAS FINANCEIRAS - DF</t>
  </si>
  <si>
    <t>LUCRO - L</t>
  </si>
  <si>
    <t>BDI - CALCULADO</t>
  </si>
  <si>
    <t>BDI (CALCULADO):</t>
  </si>
  <si>
    <t>Para o preenchimento da proposta deve-se utilizar o valor de ISS da Prefeitura Local.</t>
  </si>
  <si>
    <t xml:space="preserve">BDI CALCULADO CONFORME ACÓRDÃO Nº 2369/2011 – TCU </t>
  </si>
  <si>
    <t>Fórmula de Cálculo do BDI</t>
  </si>
  <si>
    <t xml:space="preserve">Data proposta 20/04/22                   BDI: 27,71% incluso nos valores                         </t>
  </si>
  <si>
    <t>ÁGUA FRIA</t>
  </si>
  <si>
    <t>LOUÇAS, METAIS E ACESSÓRIOS</t>
  </si>
  <si>
    <t>D E S C R I Ç Ã O</t>
  </si>
  <si>
    <t>ETAPA 1</t>
  </si>
  <si>
    <t>TOTAL ACUMULADO</t>
  </si>
  <si>
    <t>5.2</t>
  </si>
  <si>
    <t>6.3</t>
  </si>
  <si>
    <t>9.2</t>
  </si>
  <si>
    <t>9.3</t>
  </si>
  <si>
    <t>9.4</t>
  </si>
  <si>
    <t>9.5</t>
  </si>
  <si>
    <t>9.6</t>
  </si>
  <si>
    <t>9.7</t>
  </si>
  <si>
    <t>9.8</t>
  </si>
  <si>
    <t>9.9</t>
  </si>
  <si>
    <t>9.10</t>
  </si>
  <si>
    <t>9.11</t>
  </si>
  <si>
    <t>9.12</t>
  </si>
  <si>
    <t>9.13</t>
  </si>
  <si>
    <t>9.14</t>
  </si>
  <si>
    <t>9.15</t>
  </si>
  <si>
    <t>9.16</t>
  </si>
  <si>
    <t>9.17</t>
  </si>
  <si>
    <t>9.18</t>
  </si>
  <si>
    <t>9.19</t>
  </si>
  <si>
    <t>9.20</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</si>
  <si>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</si>
  <si>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</si>
  <si>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</si>
  <si>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</si>
  <si>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</si>
  <si>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</si>
  <si>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</si>
  <si>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</si>
  <si>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</si>
  <si>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</si>
  <si>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</si>
  <si>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</si>
  <si>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</si>
  <si>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</si>
  <si>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</si>
  <si>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</si>
  <si>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</si>
  <si>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</si>
  <si>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</si>
  <si>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</si>
  <si>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</si>
  <si>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</si>
  <si>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</si>
  <si>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</si>
  <si>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</si>
  <si>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</si>
  <si>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</si>
  <si>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</si>
  <si>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</si>
  <si>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</si>
  <si>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</si>
  <si>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</si>
  <si>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</si>
  <si>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</si>
  <si>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</si>
  <si>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</si>
  <si>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</si>
  <si>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</si>
  <si>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ETAPA 2</t>
  </si>
  <si>
    <t>ETAPA 3</t>
  </si>
  <si>
    <t>___________________________________________</t>
  </si>
  <si>
    <t>CREA 169093</t>
  </si>
  <si>
    <t>Pedro José Dorneles Müller - eng. Civil</t>
  </si>
  <si>
    <t xml:space="preserve">                  Rafael Silveira - eng. Eletricista</t>
  </si>
  <si>
    <t xml:space="preserve">                                  CREA 136938</t>
  </si>
  <si>
    <t>2.5</t>
  </si>
  <si>
    <t>2.6</t>
  </si>
  <si>
    <t>2.7</t>
  </si>
  <si>
    <t>2.9</t>
  </si>
  <si>
    <t>2.10</t>
  </si>
  <si>
    <t>2.11</t>
  </si>
  <si>
    <t>2.12</t>
  </si>
  <si>
    <t>2.13</t>
  </si>
  <si>
    <t>4.2</t>
  </si>
  <si>
    <t>5.3</t>
  </si>
  <si>
    <t>5.4</t>
  </si>
  <si>
    <t>6.4</t>
  </si>
  <si>
    <t>8.2</t>
  </si>
  <si>
    <t>8.3</t>
  </si>
  <si>
    <t>TAPUME COM TELHA METÁLICA. AF_05/2018</t>
  </si>
  <si>
    <t>DEMOLIÇÃO DE ALVENARIA DE TIJOLO MACIÇO, DE FORMA MANUAL, SEM REAPROVEITAMENTO. AF_12/2017</t>
  </si>
  <si>
    <t>97634</t>
  </si>
  <si>
    <t>DEMOLIÇÃO DE REVESTIMENTO CERÂMICO, DE FORMA MECANIZADA COM MARTELETE, SEM REAPROVEITAMENTO. AF_12/2017</t>
  </si>
  <si>
    <t>DEMOLIÇÃO DE REVESTIMENTO CERÂMICO, DE FORMA MANUAL, SEM REAPROVEITAMENTO. AF_12/2017</t>
  </si>
  <si>
    <t>DEMOLIÇÃO DE LAJES, DE FORMA MECANIZADA COM MARTELETE, SEM REAPROVEITAMENTO. AF_12/2017</t>
  </si>
  <si>
    <t>REMOÇÃO DE FORRO DE GESSO, DE FORMA MANUAL, SEM REAPROVEITAMENTO. AF_12/2017</t>
  </si>
  <si>
    <t>REMOÇÃO DE PORTAS, DE FORMA MANUAL, SEM REAPROVEITAMENTO. AF_12/2017</t>
  </si>
  <si>
    <t>REMOÇÃO DE INTERRUPTORES/TOMADAS ELÉTRICAS, DE FORMA MANUAL, SEM REAPROVEITAMENTO. AF_12/2017</t>
  </si>
  <si>
    <t>REMOÇÃO DE CABOS ELÉTRICOS, DE FORMA MANUAL, SEM REAPROVEITAMENTO. AF_12/2017</t>
  </si>
  <si>
    <t>REMOÇÃO DE TUBULAÇÕES (TUBOS E CONEXÕES) DE ÁGUA FRIA, DE FORMA MANUAL, SEM REAPROVEITAMENTO. AF_12/2017</t>
  </si>
  <si>
    <t>REMOÇÃO DE LOUÇAS, DE FORMA MANUAL, SEM REAPROVEITAMENTO. AF_12/2017</t>
  </si>
  <si>
    <t>TRANSPORTE HORIZONTAL COM CARRINHO PLATAFORMA, DE SACOS DE 50 KG (UNIDADE: KGXKM). AF_07/2019</t>
  </si>
  <si>
    <t>mercado</t>
  </si>
  <si>
    <t>RETIRADA DO ENTULHO COM CAÇAMBA</t>
  </si>
  <si>
    <t>PAREDE COM PLACAS DE GESSO ACARTONADO RU (DRYWALL RESISTENTE À UMIDADE), PARA USO INTERNO, COM DUAS FACES DUPLAS E ESTRUTURA METÁLICA COM GUIAS DUPLAS, COM VÃOS. AF_06/2017_P</t>
  </si>
  <si>
    <t>PAREDE COM PLACAS CIMENTÍCIAS, PARA USO INTERNO, COM DUAS FACES SIMPLES E ESTRUTURA METÁLICA COM GUIAS SIMPLES, SEM VÃOS. AF_06/2017_P</t>
  </si>
  <si>
    <t>VERGA PRÉ-MOLDADA PARA JANELAS COM MAIS DE 1,5 M DE VÃO. AF_03/2016</t>
  </si>
  <si>
    <t>103331</t>
  </si>
  <si>
    <t>ALVENARIA DE VEDAÇÃO DE BLOCOS CERÂMICOS FURADOS NA HORIZONTAL DE 11,5X19X19 CM (ESPESSURA 11,5 CM) E ARGAMASSA DE ASSENTAMENTO COM PREPARO MANUAL. AF_12/2021</t>
  </si>
  <si>
    <t>PAREDES E VEDAÇÕES</t>
  </si>
  <si>
    <t>FORRO EM DRYWALL, PARA AMBIENTES RESIDENCIAIS, COM PLACA RU (RESISTENTE À UMIDADE) INCLUSIVE ESTRUTURA DE FIXAÇÃO. AF_05/2017_P</t>
  </si>
  <si>
    <t>FORRO EM DRYWALL, PARA AMBIENTES COMERCIAIS, INCLUSIVE ESTRUTURA DE FIXAÇÃO. AF_05/2017_P</t>
  </si>
  <si>
    <t>PISO CIMENTADO, TRAÇO 1:3 (CIMENTO E AREIA), ACABAMENTO LISO, ESPESSURA 3,0 CM, PREPARO MECÂNICO DA ARGAMASSA. AF_09/2020</t>
  </si>
  <si>
    <t>101727</t>
  </si>
  <si>
    <t>PISO VINÍLICO SEMI-FLEXÍVEL EM PLACAS, PADRÃO LISO, ESPESSURA 3,2 MM, FIXADO COM COLA. AF_09/2020</t>
  </si>
  <si>
    <t>REVESTIMENTO CERÂMICO PARA PISO COM PLACAS TIPO ESMALTADA EXTRA DE DIMENSÕES 45X45 CM APLICADA EM AMBIENTES DE ÁREA MENOR QUE 5 M2. AF_06/2014</t>
  </si>
  <si>
    <t>88650</t>
  </si>
  <si>
    <t>RODAPÉ CERÂMICO DE 7CM DE ALTURA COM PLACAS TIPO ESMALTADA EXTRA DE DIMENSÕES 60X60CM. AF_06/2014</t>
  </si>
  <si>
    <t xml:space="preserve">PERFIL RODAPE DE IMPERMEABILIZACAO, FORMATO L, EM ACO ZINCADO, PARA ESTRUTURA DRYWALL, E = 0,5 MM, 220 X 3000 MM (H X C)                                                                                                                                                                                                                                                                                                                                                                                  </t>
  </si>
  <si>
    <t>IMPERMEABILIZAÇÃO DE SUPERFÍCIE COM MANTA ASFÁLTICA, UMA CAMADA, INCLUSIVE APLICAÇÃO DE PRIMER ASFÁLTICO, E=3MM. AF_06/2018</t>
  </si>
  <si>
    <t>PROTEÇÃO MECÂNICA DE SUPERFICIE HORIZONTAL COM ARGAMASSA DE CIMENTO E AREIA, TRAÇO 1:3, E=3CM. AF_06/2018</t>
  </si>
  <si>
    <t>IMPERMEABILIZAÇÃO DE SUPERFÍCIE COM ARGAMASSA POLIMÉRICA / MEMBRANA ACRÍLICA, 3 DEMÃOS. AF_06/2018</t>
  </si>
  <si>
    <t>IMPERMEABILIZAÇÕES</t>
  </si>
  <si>
    <t>87893</t>
  </si>
  <si>
    <t>CHAPISCO APLICADO EM ALVENARIA (SEM PRESENÇA DE VÃOS) E ESTRUTURAS DE CONCRETO DE FACHADA, COM COLHER DE PEDREIRO.  ARGAMASSA TRAÇO 1:3 COM PREPARO MANUAL. AF_06/2014</t>
  </si>
  <si>
    <t>87530</t>
  </si>
  <si>
    <t>MASSA ÚNICA, PARA RECEBIMENTO DE PINTURA, EM ARGAMASSA TRAÇO 1:2:8, PREPARO MANUAL, APLICADA MANUALMENTE EM FACES INTERNAS DE PAREDES, ESPESSURA DE 20MM, COM EXECUÇÃO DE TALISCAS. AF_06/2014</t>
  </si>
  <si>
    <t>REVESTIMENTO CERÂMICO PARA PAREDES INTERNAS COM PLACAS TIPO ESMALTADA EXTRA  DE DIMENSÕES 33X45 CM APLICADAS EM AMBIENTES DE ÁREA MENOR QUE 5 M² NA ALTURA INTEIRA DAS PAREDES. AF_06/2014</t>
  </si>
  <si>
    <t>KIT DE PORTA-PRONTA DE MADEIRA EM ACABAMENTO MELAMÍNICO BRANCO, FOLHA PESADA OU SUPERPESADA, 80X210CM, FIXAÇÃO COM PREENCHIMENTO PARCIAL DE ESPUMA EXPANSIVA - FORNECIMENTO E INSTALAÇÃO. AF_12/2019</t>
  </si>
  <si>
    <t>PORTA CORTA-FOGO 160X210X4CM - FORNECIMENTO E INSTALAÇÃO. AF_12/2019</t>
  </si>
  <si>
    <t>RASGO EM ALVENARIA PARA RAMAIS/ DISTRIBUIÇÃO COM DIAMETROS MENORES OU IGUAIS A 40 MM. AF_05/2015</t>
  </si>
  <si>
    <t>CHUMBAMENTO LINEAR EM ALVENARIA PARA RAMAIS/DISTRIBUIÇÃO COM DIÂMETROS MENORES OU IGUAIS A 40 MM. AF_05/2015</t>
  </si>
  <si>
    <t>91785</t>
  </si>
  <si>
    <t>(COMPOSIÇÃO REPRESENTATIVA) DO SERVIÇO DE INSTALAÇÃO DE TUBOS DE PVC, SOLDÁVEL, ÁGUA FRIA, DN 25 MM (INSTALADO EM RAMAL, SUB-RAMAL, RAMAL DE DISTRIBUIÇÃO OU PRUMADA), INCLUSIVE CONEXÕES, CORTES E FIXAÇÕES, PARA PRÉDIOS. AF_10/2015</t>
  </si>
  <si>
    <t>(COMPOSIÇÃO REPRESENTATIVA) DO SERVIÇO DE INSTALAÇÃO DE TUBO DE PVC, SÉRIE NORMAL, ESGOTO PREDIAL, DN 40 MM (INSTALADO EM RAMAL DE DESCARGA OU RAMAL DE ESGOTO SANITÁRIO), INCLUSIVE CONEXÕES, CORTES E FIXAÇÕES, PARA PRÉDIOS. AF_10/2015</t>
  </si>
  <si>
    <t>91793</t>
  </si>
  <si>
    <t>(COMPOSIÇÃO REPRESENTATIVA) DO SERVIÇO DE INSTALAÇÃO DE TUBO DE PVC, SÉRIE NORMAL, ESGOTO PREDIAL, DN 50 MM (INSTALADO EM RAMAL DE DESCARGA OU RAMAL DE ESGOTO SANITÁRIO), INCLUSIVE CONEXÕES, CORTES E FIXAÇÕES PARA, PRÉDIOS. AF_10/2015</t>
  </si>
  <si>
    <t>(COMPOSIÇÃO REPRESENTATIVA) DO SERVIÇO DE INST. TUBO PVC, SÉRIE N, ESGOTO PREDIAL, DN 75 MM, (INST. EM RAMAL DE DESCARGA, RAMAL DE ESG. SANITÁRIO, PRUMADA DE ESG. SANITÁRIO OU VENTILAÇÃO), INCL. CONEXÕES, CORTES E FIXAÇÕES, P/ PRÉDIOS. AF_10/2015</t>
  </si>
  <si>
    <t>(COMPOSIÇÃO REPRESENTATIVA) DO SERVIÇO DE INST. TUBO PVC, SÉRIE N, ESGOTO PREDIAL, 100 MM (INST. RAMAL DESCARGA, RAMAL DE ESG. SANIT., PRUMADA ESG. SANIT., VENTILAÇÃO OU SUB-COLETOR AÉREO), INCL. CONEXÕES E CORTES, FIXAÇÕES, P/ PRÉDIOS. AF_10/2015</t>
  </si>
  <si>
    <t>CAIXA SIFONADA, PVC, DN 150 X 185 X 75 MM, JUNTA ELÁSTICA, FORNECIDA E INSTALADA EM RAMAL DE DESCARGA OU EM RAMAL DE ESGOTO SANITÁRIO. AF_12/2014</t>
  </si>
  <si>
    <t>VASO SANITÁRIO SIFONADO COM CAIXA ACOPLADA LOUÇA BRANCA - FORNECIMENTO E INSTALAÇÃO. AF_01/2020</t>
  </si>
  <si>
    <t>LAVATÓRIO LOUÇA BRANCA COM COLUNA, 45 X 55CM OU EQUIVALENTE, PADRÃO MÉDIO - FORNECIMENTO E INSTALAÇÃO. AF_01/2020</t>
  </si>
  <si>
    <t>APARELHO MISTURADOR DE MESA PARA LAVATÓRIO, PADRÃO MÉDIO - FORNECIMENTO E INSTALAÇÃO. AF_01/2020</t>
  </si>
  <si>
    <t>ENGATE FLEXÍVEL EM INOX, 1/2  X 40CM - FORNECIMENTO E INSTALAÇÃO. AF_01/2020</t>
  </si>
  <si>
    <t>SIFÃO DO TIPO FLEXÍVEL EM PVC 1  X 1.1/2  - FORNECIMENTO E INSTALAÇÃO. AF_01/2020</t>
  </si>
  <si>
    <t>VÁLVULA EM METAL CROMADO 1.1/2 X 1.1/2 PARA TANQUE OU LAVATÓRIO, COM OU SEM LADRÃO - FORNECIMENTO E INSTALAÇÃO. AF_01/2020</t>
  </si>
  <si>
    <t>MANOPLA E CANOPLA CROMADA  FORNECIMENTO E INSTALAÇÃO. AF_01/2020</t>
  </si>
  <si>
    <t>REGISTRO DE PRESSÃO BRUTO, LATÃO, ROSCÁVEL, 1/2", FORNECIDO E INSTALADO EM RAMAL DE ÁGUA. AF_12/2014</t>
  </si>
  <si>
    <t>REGISTRO DE GAVETA BRUTO, LATÃO, ROSCÁVEL, 3/4", FORNECIDO E INSTALADO EM RAMAL DE ÁGUA. AF_12/2014</t>
  </si>
  <si>
    <t>Orçamento Mercado</t>
  </si>
  <si>
    <t>Tampo medindo 1500x600mm, constituído por espelho posterior de 100mm de altura, com 01(um) expurgo padrão hospitalar 320mm com bocal de 100mm e 01(uma) cuba medindo 500x400x300mm com válvula padrão americana de 3.1/2”, confeccionado em chapa de aço inoxidável AISI 304 de acabamento polido, com forração em mdf melamínico na parte inferior do tampo.</t>
  </si>
  <si>
    <t>Tampo medindo 2900x600mm, constituído por espelho posterior de 100mm de altura, com 01(uma) cuba medindo 500x400x300mm com válvula padrão americana de 3.1/2”, confeccionado em chapa de aço inoxidável AISI 304 de acabamento polido, com forração em mdf melamínico na parte inferior do tampo.</t>
  </si>
  <si>
    <t>Tampo medindo 3000x600mm, constituído por espelho posterior de 100mm de altura, com 01(uma) cuba medindo 500x400x300mm com válvula padrão americana de 3.1/2”, confeccionado em chapa de aço inoxidável AISI 304 de acabamento polido, com forração em mdf melamínico na parte inferior do tampo.</t>
  </si>
  <si>
    <t>QUADRO DE DISTRIBUIÇÃO DE ENERGIA EM CHAPA DE AÇO GALVANIZADO, DE EMBUTIR, COM BARRAMENTO TRIFÁSICO, PARA 40 DISJUNTORES DIN 100A - FORNECIMENTO E INSTALAÇÃO. AF_10/2020</t>
  </si>
  <si>
    <t>QUADRO DE DISTRIBUIÇÃO DE ENERGIA EM CHAPA DE AÇO GALVANIZADO, DE EMBUTIR, COM BARRAMENTO TRIFÁSICO, PARA 30 DISJUNTORES DIN 225A - FORNECIMENTO E INSTALAÇÃO. AF_10/2020</t>
  </si>
  <si>
    <t>CAIXA RETANGULAR 4" X 2" ALTA (2,00 M DO PISO), PVC, INSTALADA EM PAREDE - FORNECIMENTO E INSTALAÇÃO. AF_12/2015</t>
  </si>
  <si>
    <t>CAIXA RETANGULAR 4" X 2" MÉDIA (1,30 M DO PISO), PVC, INSTALADA EM PAREDE - FORNECIMENTO E INSTALAÇÃO. AF_12/2015</t>
  </si>
  <si>
    <t>CAIXA RETANGULAR 4" X 2" BAIXA (0,30 M DO PISO), PVC, INSTALADA EM PAREDE - FORNECIMENTO E INSTALAÇÃO. AF_12/2015</t>
  </si>
  <si>
    <t>CAIXA OCTOGONAL 4" X 4", PVC, INSTALADA EM LAJE - FORNECIMENTO E INSTALAÇÃO. AF_12/2015</t>
  </si>
  <si>
    <t>CAIXA RETANGULAR 4" X 4" MÉDIA (1,30 M DO PISO), PVC, INSTALADA EM PAREDE - FORNECIMENTO E INSTALAÇÃO. AF_12/2015</t>
  </si>
  <si>
    <t>CONDULETE DE PVC, TIPO LL, PARA ELETRODUTO DE PVC SOLDÁVEL DN 25 MM (3/4''), APARENTE - FORNECIMENTO E INSTALAÇÃO. AF_11/2016</t>
  </si>
  <si>
    <t>CONDULETE DE PVC, TIPO X, PARA ELETRODUTO DE PVC SOLDÁVEL DN 25 MM (3/4''), APARENTE - FORNECIMENTO E INSTALAÇÃO. AF_11/2016</t>
  </si>
  <si>
    <t>ELETROCALHA LISA OU PERFURADA EM AÇO GALVANIZADO, LARGURA 100MM E ALTURA 50MM, INCLUSIVE EMENDA E FIXAÇÃO - FORNECIMENTO E INSTALAÇÃO</t>
  </si>
  <si>
    <t>ELETROCALHA LISA OU PERFURADA EM AÇO GALVANIZADO, LARGURA 200MM E ALTURA 50MM, INCLUSIVE EMENDA E FIXAÇÃO - FORNECIMENTO E INSTALAÇÃO</t>
  </si>
  <si>
    <t>ELETRODUTO RÍGIDO ROSCÁVEL, PVC, DN 25 MM (3/4"), PARA CIRCUITOS TERMINAIS, INSTALADO EM PAREDE - FORNECIMENTO E INSTALAÇÃO. AF_12/2015</t>
  </si>
  <si>
    <t>ELETRODUTO RÍGIDO ROSCÁVEL, PVC, DN 32 MM (1"), PARA CIRCUITOS TERMINAIS, INSTALADO EM PAREDE - FORNECIMENTO E INSTALAÇÃO. AF_12/2015</t>
  </si>
  <si>
    <t>LUVA PARA ELETRODUTO, PVC, ROSCÁVEL, DN 25 MM (3/4"), PARA CIRCUITOS TERMINAIS, INSTALADA EM PAREDE - FORNECIMENTO E INSTALAÇÃO. AF_12/2015</t>
  </si>
  <si>
    <t>LUVA PARA ELETRODUTO, PVC, ROSCÁVEL, DN 32 MM (1"), PARA CIRCUITOS TERMINAIS, INSTALADA EM PAREDE - FORNECIMENTO E INSTALAÇÃO. AF_12/2015</t>
  </si>
  <si>
    <t>CURVA 90 GRAUS PARA ELETRODUTO, PVC, ROSCÁVEL, DN 25 MM (3/4"), PARA CIRCUITOS TERMINAIS, INSTALADA EM PAREDE - FORNECIMENTO E INSTALAÇÃO. AF_12/2015</t>
  </si>
  <si>
    <t>CURVA 90 GRAUS PARA ELETRODUTO, PVC, ROSCÁVEL, DN 32 MM (1"), PARA CIRCUITOS TERMINAIS, INSTALADA EM PAREDE - FORNECIMENTO E INSTALAÇÃO. AF_12/2015</t>
  </si>
  <si>
    <t>SAIDA GALVANIZADA ELETROCALHA PARA ELETRODUTO 3/4” - FORNECIMENTO E INSTALAÇÃO.</t>
  </si>
  <si>
    <t>CURVA HORIZONTAL 90º, PARA ELETROCALHA, LISA OU PERFURADA EM AÇO GALVANIZADO, LARGURA DE 100MM E ALTURA DE 50MM - FORNECIMENTO E INSTALAÇÃO.</t>
  </si>
  <si>
    <t>TE PARA ELETROCALHA, LISA OU PERFURADA EM AÇO GALVANIZADO, LARGURA DE 200MM E ALTURA DE 50MM - FORNECIMENTO E INSTALAÇÃO.</t>
  </si>
  <si>
    <t>CURVA HORIZONTAL 90º, PARA ELETROCALHA, LISA OU PERFURADA EM AÇO GALVANIZADO, LARGURA DE 200MM E ALTURA DE 50MM - FORNECIMENTO E INSTALAÇÃO.</t>
  </si>
  <si>
    <t>CURVA VERTICAL 90º, PARA ELETROCALHA, LISA OU PERFURADA EM AÇO GALVANIZADO, LARGURA DE 200MM E ALTURA DE 50MM - FORNECIMENTO E INSTALAÇÃO.</t>
  </si>
  <si>
    <t>CRUZETA PARA ELETROCALHA, LISA OU PERFURADA EM AÇO GALVANIZADO, LARGURA DE 200MM E ALTURA DE 50MM - FORNECIMENTO E INSTALAÇÃO.</t>
  </si>
  <si>
    <t>10.62</t>
  </si>
  <si>
    <t>10.63</t>
  </si>
  <si>
    <t>10.64</t>
  </si>
  <si>
    <t>10.65</t>
  </si>
  <si>
    <t>10.66</t>
  </si>
  <si>
    <t>10.67</t>
  </si>
  <si>
    <t>CABO DE COBRE FLEXÍVEL ISOLADO, 2,5 MM², ANTI-CHAMA 450/750 V, PARA CIRCUITOS TERMINAIS - FORNECIMENTO E INSTALAÇÃO. AF_12/2015</t>
  </si>
  <si>
    <t>CABO DE COBRE FLEXÍVEL ISOLADO, 4 MM², ANTI-CHAMA 450/750 V, PARA CIRCUITOS TERMINAIS - FORNECIMENTO E INSTALAÇÃO. AF_12/2015</t>
  </si>
  <si>
    <t>CABO DE COBRE FLEXÍVEL ISOLADO, 6 MM², ANTI-CHAMA 450/750 V, PARA CIRCUITOS TERMINAIS - FORNECIMENTO E INSTALAÇÃO. AF_12/2015</t>
  </si>
  <si>
    <t>CABO DE COBRE FLEXÍVEL ISOLADO, 16 MM², ANTI-CHAMA 0,6/1,0 KV, PARA CIRCUITOS TERMINAIS - FORNECIMENTO E INSTALAÇÃO. AF_12/2015</t>
  </si>
  <si>
    <t>CABO DE COBRE FLEXÍVEL ISOLADO, 25 MM², ANTI-CHAMA 0,6/1,0 KV - FORNECIMENTO E INSTALAÇÃO. AF_12/2021</t>
  </si>
  <si>
    <t>DISJUNTOR MONOPOLAR TIPO DIN, CORRENTE NOMINAL DE 16A - FORNECIMENTO E INSTALAÇÃO. AF_10/2020</t>
  </si>
  <si>
    <t>DISJUNTOR MONOPOLAR TIPO DIN, CORRENTE NOMINAL DE 20A - FORNECIMENTO E INSTALAÇÃO. AF_10/2020</t>
  </si>
  <si>
    <t>DISJUNTOR MONOPOLAR TIPO DIN, CORRENTE NOMINAL DE 25A - FORNECIMENTO E INSTALAÇÃO. AF_10/2020</t>
  </si>
  <si>
    <t>DISJUNTOR MONOPOLAR TIPO DIN, CORRENTE NOMINAL DE 32A - FORNECIMENTO E INSTALAÇÃO. AF_10/2020</t>
  </si>
  <si>
    <t>COMPOSIÇÃO IE.20</t>
  </si>
  <si>
    <t>DISJUNTOR MONOPOLAR TIPO DIN, CORRENTE NOMINAL DE 80A - FORNECIMENTO E INSTALAÇÃO.</t>
  </si>
  <si>
    <t>DISJUNTOR TRIPOLAR TIPO DIN, CORRENTE NOMINAL DE 40A - FORNECIMENTO E INSTALAÇÃO. AF_10/2020</t>
  </si>
  <si>
    <t>DISJUNTOR TRIPOLAR, CORRENTE NOMINAL DE 60 ATÉ 100A – FORNECIMENTO E INSTALAÇÃO. AF_10/2020</t>
  </si>
  <si>
    <t>DISPOSITIVO DR 25A – TIPO B – FORNECIMENTO E INSTALAÇÃO.</t>
  </si>
  <si>
    <t>DISPOSITIVO DR 40A – TIPO B – FORNECIMENTO E INSTALAÇÃO.</t>
  </si>
  <si>
    <t>INTERRUPTOR SIMPLES (1 MÓDULO), 10A/250V, INCLUINDO SUPORTE E PLACA – FORNECIMENTO E INSTALAÇÃO. AF_12/2015</t>
  </si>
  <si>
    <t>INTERRUPTOR SIMPLES (2 MÓDULOS), 10A/250V, INCLUINDO SUPORTE E PLACA – FORNECIMENTO E INSTALAÇÃO. AF_12/2015</t>
  </si>
  <si>
    <t>TOMADA ALTA DE EMBUTIR (1 MÓDULO), 2P+T 10 A, INCLUINDO SUPORTE E PLACA - FORNECIMENTO E INSTALAÇÃO. AF_12/2015</t>
  </si>
  <si>
    <t>TOMADA MÉDIA DE EMBUTIR (1 MÓDULO), 2P+T 10 A, INCLUINDO SUPORTE E PLACA - FORNECIMENTO E INSTALAÇÃO. AF_12/2015</t>
  </si>
  <si>
    <t>TOMADA MÉDIA DE EMBUTIR (1 MÓDULO), 2P+T 20 A, INCLUINDO SUPORTE E PLACA - FORNECIMENTO E INSTALAÇÃO. AF_12/2015</t>
  </si>
  <si>
    <t>TOMADA BAIXA DE EMBUTIR (1 MÓDULO), 2P+T 10 A, INCLUINDO SUPORTE E PLACA - FORNECIMENTO E INSTALAÇÃO. AF_12/2015</t>
  </si>
  <si>
    <t>COMPOSIÇÃO IE.13</t>
  </si>
  <si>
    <t>LUMINÁRIA FECHADA TIPO CALHA, DE EMBUTIR, COM 2 LÂMPADAS TUBULARES LED DE 10 W COM REFLETOR COM DIFUSOR - FORNECIMENTO E INSTALAÇÃO.</t>
  </si>
  <si>
    <t>LUMINÁRIA DE EMERGÊNCIA, COM 30 LÂMPADAS LED DE 2 W, SEM REATOR – FORNECIMENTO E INSTALAÇÃO. AF_02/2020</t>
  </si>
  <si>
    <t>BALIZADOR LED DE PAREDE – FORNECIMENTO E INSTALAÇÃO.</t>
  </si>
  <si>
    <t>SISTEMA IT MÉDICO</t>
  </si>
  <si>
    <t>COMPOSIÇÃO IE.19</t>
  </si>
  <si>
    <t>INSTALAÇÃO QUADRO IT MÉDICO</t>
  </si>
  <si>
    <t>COMPOSIÇÃO IE.18</t>
  </si>
  <si>
    <t>CURVA VERTICAL 90º, PARA ELETROCALHA, LISA OU PERFURADA EM AÇO GALVANIZADO, LARGURA DE 100MM E ALTURA DE 50MM - FORNECIMENTO E INSTALAÇÃO.</t>
  </si>
  <si>
    <t>CONDULETE DE PVC, TIPO LL, PARA ELETRODUTO DE PVC SOLDÁVEL DN 32 MM (1''), APARENTE - FORNECIMENTO E INSTALAÇÃO. AF_11/2016</t>
  </si>
  <si>
    <t>PATCH PANEL 24 PORTAS, CATEGORIA 6 - FORNECIMENTO E INSTALAÇÃO. AF_11/2019</t>
  </si>
  <si>
    <t>TOMADA DE REDE RJ45 - FORNECIMENTO E INSTALAÇÃO. AF_11/2019</t>
  </si>
  <si>
    <t>CABO ELETRÔNICO CATEGORIA 6, INSTALADO EM EDIFICAÇÃO INSTITUCIONAL – FORNECIMENTO E INSTALAÇÃO. AF_11/2019</t>
  </si>
  <si>
    <t>88485</t>
  </si>
  <si>
    <t>APLICAÇÃO DE FUNDO SELADOR ACRÍLICO EM PAREDES, UMA DEMÃO. AF_06/2014</t>
  </si>
  <si>
    <t>88495</t>
  </si>
  <si>
    <t>APLICAÇÃO E LIXAMENTO DE MASSA LÁTEX EM PAREDES, UMA DEMÃO. AF_06/2014</t>
  </si>
  <si>
    <t>88494</t>
  </si>
  <si>
    <t>APLICAÇÃO E LIXAMENTO DE MASSA LÁTEX EM TETO, UMA DEMÃO. AF_06/2014</t>
  </si>
  <si>
    <t>88489</t>
  </si>
  <si>
    <t>APLICAÇÃO MANUAL DE PINTURA COM TINTA LÁTEX ACRÍLICA EM PAREDES, DUAS DEMÃOS. AF_06/2014</t>
  </si>
  <si>
    <t>88488</t>
  </si>
  <si>
    <t>APLICAÇÃO MANUAL DE PINTURA COM TINTA LÁTEX ACRÍLICA EM TETO, DUAS DEMÃOS. AF_06/2014</t>
  </si>
  <si>
    <t>PAREDES E TETOS</t>
  </si>
  <si>
    <t>99803</t>
  </si>
  <si>
    <t>LIMPEZA DE PISO CERÂMICO OU PORCELANATO COM PANO ÚMIDO. AF_04/2019</t>
  </si>
  <si>
    <t>KIT DE ACESSORIOS PARA BANHEIRO EM METAL CROMADO, 5 PECAS, INCLUSO FIXAÇÃO. AF_01/2020</t>
  </si>
  <si>
    <t>ASSENTO SANITÁRIO CONVENCIONAL - FORNECIMENTO E INSTALACAO. AF_01/2020</t>
  </si>
  <si>
    <t>100874</t>
  </si>
  <si>
    <t>PUXADOR PARA PCD, FIXADO NA PORTA - FORNECIMENTO E INSTALAÇÃO. AF_01/2020</t>
  </si>
  <si>
    <t>BARRA DE APOIO EM "L", EM ACO INOX POLIDO 80 X 80 CM, FIXADA NA PAREDE - FORNECIMENTO E INSTALACAO. AF_01/2020</t>
  </si>
  <si>
    <t>BARRA DE APOIO RETA, EM ACO INOX POLIDO, COMPRIMENTO 90 CM,  FIXADA NA PAREDE - FORNECIMENTO E INSTALAÇÃO. AF_01/2020</t>
  </si>
  <si>
    <t>13.12</t>
  </si>
  <si>
    <t>13.13</t>
  </si>
  <si>
    <t>TUBO EM COBRE RÍGIDO, DN 28 MM, CLASSE E, SEM ISOLAMENTO, INSTALADO EM PRUMADA  FORNECIMENTO E INSTALAÇÃO. AF_12/2015</t>
  </si>
  <si>
    <t>92319</t>
  </si>
  <si>
    <t>TE EM COBRE, DN 28 MM, SEM ANEL DE SOLDA, INSTALADO EM RAMAL DE DISTRIBUIÇÃO  FORNECIMENTO E INSTALAÇÃO. AF_12/2015</t>
  </si>
  <si>
    <t>92328</t>
  </si>
  <si>
    <t>COTOVELO EM COBRE, DN 28 MM, 90 GRAUS, SEM ANEL DE SOLDA, INSTALADO EM RAMAL E SUB-RAMAL  FORNECIMENTO E INSTALAÇÃO. AF_12/2015</t>
  </si>
  <si>
    <t>TUBO EM COBRE RÍGIDO, DN 22 MM, CLASSE E, SEM ISOLAMENTO, INSTALADO EM PRUMADA  FORNECIMENTO E INSTALAÇÃO. AF_12/2015</t>
  </si>
  <si>
    <t>92318</t>
  </si>
  <si>
    <t>TE EM COBRE, DN 22 MM, SEM ANEL DE SOLDA, INSTALADO EM RAMAL DE DISTRIBUIÇÃO  FORNECIMENTO E INSTALAÇÃO. AF_12/2015</t>
  </si>
  <si>
    <t>92327</t>
  </si>
  <si>
    <t>COTOVELO EM COBRE, DN 22 MM, 90 GRAUS, SEM ANEL DE SOLDA, INSTALADO EM RAMAL E SUB-RAMAL  FORNECIMENTO E INSTALAÇÃO. AF_12/2015</t>
  </si>
  <si>
    <t>TUBO EM COBRE RÍGIDO, DN 15 MM, CLASSE A, SEM ISOLAMENTO, INSTALADO EM RAMAL E SUB-RAMAL, INCLUSIVE SOLDA,  FORNECIMENTO E INSTALAÇÃO. AF_12/2015</t>
  </si>
  <si>
    <t>TE EM COBRE, DN 15 MM, SEM ANEL DE SOLDA, INSTALADO EM RAMAL DE DISTRIBUIÇÃO  FORNECIMENTO E INSTALAÇÃO. AF_12/2015</t>
  </si>
  <si>
    <t>COTOVELO EM COBRE, DN 15 MM, 90 GRAUS, SEM ANEL DE SOLDA, INSTALADO EM RAMAL DE DISTRIBUIÇÃO  FORNECIMENTO E INSTALAÇÃO. AF_12/2015</t>
  </si>
  <si>
    <t>TOMADA DE POSTO DE PAREDE PARA REDE DE GASES, FORNECIMENTO E INSTALAÇÃO</t>
  </si>
  <si>
    <t>RASGO EM ALVENARIA PARA ELETRODUTOS COM DIAMETROS MENORES OU IGUAIS A 40 MM. AF_05/2015</t>
  </si>
  <si>
    <t>VÁLVULA DE ESFERA BRUTA, BRONZE, ROSCÁVEL, 1'', INSTALADO EM RESERVAÇÃO DE ÁGUA DE EDIFICAÇÃO QUE POSSUA RESERVATÓRIO DE FIBRA/FIBROCIMENTO -   FORNECIMENTO E INSTALAÇÃO. AF_06/2016</t>
  </si>
  <si>
    <t>90777</t>
  </si>
  <si>
    <t>ENGENHEIRO CIVIL DE OBRA JUNIOR COM ENCARGOS COMPLEMENTARES</t>
  </si>
  <si>
    <t>90776</t>
  </si>
  <si>
    <t>ENCARREGADO GERAL COM ENCARGOS COMPLEMENTARES</t>
  </si>
  <si>
    <t>KGXKM</t>
  </si>
  <si>
    <t>PAREDE COM PLACAS DE GESSO ACARTONADO RU(DRYWALL), PARA USO INTERNO, COM DUAS FACES SIMPLES E ESTRUTURA METÁLICA COM GUIAS SIMPLES, SEM VÃOS. AF_06/2017_P</t>
  </si>
  <si>
    <t>ATRIBUÍDO SÃO PAULO</t>
  </si>
  <si>
    <t>PLACA / CHAPA DE GESSO ACARTONADO, RESISTENTE A UMIDADE (RU), COR VERDE, E = 12,5 MM, 1200 X 2400 MM (L X C)</t>
  </si>
  <si>
    <t xml:space="preserve">M2    </t>
  </si>
  <si>
    <t>MASSA DE REJUNTE EM PO PARA DRYWALL, A BASE DE GESSO, SECAGEM RAPIDA, PARA TRATAMENTO DE JUNTAS DE CHAPA DE GESSO (NECESSITA ADICAO DE AGUA)</t>
  </si>
  <si>
    <t xml:space="preserve">PLACA / CHAPA DE GESSO ACARTONADO, RESISTENTE A UMIDADE (RU), COR VERDE, E = 12,5 MM, 1200 X 2400 MM (L X C)                                                                                                                                                                                                                                                                                                                                                                                              </t>
  </si>
  <si>
    <t>PERFIL CANALETA, FORMATO C, EM ACO ZINCADO, PARA ESTRUTURA FORRO DRYWALL, E = 0,5 MM, *46 X 18* (L X H), COMPRIMENTO 3 M</t>
  </si>
  <si>
    <t>PENDURAL OU PRESILHA REGULADORA, EM ACO GALVANIZADO, COM CORPO, MOLA E REBITE, PARA PERFIL TIPO CANALETA DE ESTRUTURA EM FORROS DRYWALL</t>
  </si>
  <si>
    <t>PARAFUSO ZINCADO, AUTOBROCANTE, FLANGEADO, 4,2 MM X 19 MM</t>
  </si>
  <si>
    <t>ARAME GALVANIZADO 6 BWG, D = 5,16 MM (0,157 KG/M), OU 8 BWG, D = 4,19 MM (0,101 KG/M), OU 10 BWG, D = 3,40 MM (0,0713 KG/M)</t>
  </si>
  <si>
    <t>ESCAVAÇÃO MANUAL, PREPARO DE FUNDO DE VALA E REATERRO MANUAL COM COMPACTAÇÃO MECANIZADA PARA REDE DE ESGOTO ENTERRADA</t>
  </si>
  <si>
    <t>ASSENTADOR DE TUBOS COM ENCARGOS COMPLEMENTARES</t>
  </si>
  <si>
    <t>JUNTA ARGAMASSADA ENTRE TUBO DN 100 MM E O POÇO DE VISITA/ CAIXA DE CONCRETO OU ALVENARIA EM REDES DE ESGOTO. AF_01/2021</t>
  </si>
  <si>
    <t>ESCAVAÇÃO MANUAL DE VALA COM PROFUNDIDADE MENOR OU IGUAL A 1,30 M. AF_02/2021</t>
  </si>
  <si>
    <t>REATERRO MANUAL DE VALAS COM COMPACTAÇÃO MECANIZADA. AF_04/2016</t>
  </si>
  <si>
    <t>PREPARO DE FUNDO DE VALA COM LARGURA MENOR QUE 1,5 M, COM CAMADA DE AREIA, LANÇAMENTO MANUAL. AF_08/2020</t>
  </si>
  <si>
    <t xml:space="preserve">JANELA MAXIM AR EM ALUMINIO, 80 X 60 CM (A X L), BATENTE/REQUADRO DE 4 A 14 CM, COM VIDRO, SEM GUARNICAO/ALIZAR. FORNECIMENTO E INSTALAÇÃO. </t>
  </si>
  <si>
    <t xml:space="preserve">JANELA MAXIM AR EM ALUMINIO, 80 X 60 CM (A X L), BATENTE/REQUADRO DE 4 A 14 CM, COM VIDRO, SEM GUARNICAO/ALIZAR                                                                                                                                                                                                                                                                                                                                                                                           </t>
  </si>
  <si>
    <t xml:space="preserve">UN    </t>
  </si>
  <si>
    <t>ARGAMASSA TRAÇO 1:3 (EM VOLUME DE CIMENTO E AREIA MÉDIA ÚMIDA), PREPARO MANUAL. AF_08/2019</t>
  </si>
  <si>
    <t xml:space="preserve">GUARNICAO/MOLDURA DE ACABAMENTO PARA ESQUADRIA DE ALUMINIO ANODIZADO NATURAL, PARA 1 FACE                                                                                                                                                                                                                                                                                                                                                                                                                 </t>
  </si>
  <si>
    <t xml:space="preserve">M     </t>
  </si>
  <si>
    <t>cotação</t>
  </si>
  <si>
    <t>TOMADA O2</t>
  </si>
  <si>
    <t>TOMADA AR COMP.</t>
  </si>
  <si>
    <t>INSTALADOR DE TUBULACOES (TUBOS/EQUIPAMENTOS)</t>
  </si>
  <si>
    <t>88243</t>
  </si>
  <si>
    <t>AJUDANTE ESPECIALIZADO COM ENCARGOS COMPLEMENTARES</t>
  </si>
  <si>
    <t>PLACA CIMENTICIA LISA E = 10 MM, DE 1,20 X *2,50* M (SEM AMIANTO)</t>
  </si>
  <si>
    <t>11154</t>
  </si>
  <si>
    <t>PORTA CORTA-FOGO PARA SAIDA DE EMERGENCIA, COM FECHADURA, VAO LUZ DE 90 X 210 CM, CLASSE P-90 (NBR 11742)</t>
  </si>
  <si>
    <t>88309</t>
  </si>
  <si>
    <t>88629</t>
  </si>
  <si>
    <t xml:space="preserve">EMENDA PARA ELETROCALHA, LISA OU
PERFURADA EM AÇO GALVANIZADO, LARGURA DE 100MM E ALTURA DE 50MM - FORNECIMENTO E INSTALAÇÃO. </t>
  </si>
  <si>
    <t>EMENDA PARA ELETROCALHA, LISA OU
PERFURADA EM AÇO GALVANIZADO, LARGURA DE 100MM E ALTURA DE 50MM - FORNECIMENTO E INSTALAÇÃO</t>
  </si>
  <si>
    <t>ELETROCALHA LISA OU PERFURADA EM CHAPA DE
AÇO GALVANIZADO, LARGURA 200 MM E ALTURA 50
MM, ESPESSURA #18</t>
  </si>
  <si>
    <t>PERFILADO DE SEÇÃO 38X76 MM PARA SUPORTE
DE ELETROCALHA LISA OU PERFURADA EM AÇO
GALVANIZADO, LARGURA 200 MM E ALTURA 50 MM. AF_07/2017</t>
  </si>
  <si>
    <t xml:space="preserve">EMENDA PARA ELETROCALHA, LISA OU
PERFURADA EM AÇO GALVANIZADO, LARGURA DE 200MM E ALTURA DE 50MM - FORNECIMENTO E INSTALAÇÃO. </t>
  </si>
  <si>
    <t>TALA PARA EMENDA DE ELETROCALHA LISA OU PERFURADA</t>
  </si>
  <si>
    <t>SAIDA GALVANIZADA ELETROCALHA PARA ELETRODUTO 3/4”</t>
  </si>
  <si>
    <t>CURVA HORIZONTAL 90º, PARA ELETROCALHA, LISA OU PERFURADA EM AÇO GALVANIZADO, LARGURA DE 100MM E ALTURA DE 50MM - FORNECIMENTO E
INSTALAÇÃO.</t>
  </si>
  <si>
    <t>CURVA HORIZONTAL 90º, PARA ELETROCALHA, LISA OU PERFURADA EM AÇO GALVANIZADO, LARGURA
DE 100MM E ALTURA DE 50MM</t>
  </si>
  <si>
    <t>TE PARA ELETROCALHA, LISA OU PERFURADA EM AÇO GALVANIZADO, LARGURA DE 200MM E ALTURA DE 50MM</t>
  </si>
  <si>
    <t>CURVA HORIZONTAL 90º, PARA ELETROCALHA, LISA OU PERFURADA EM AÇO GALVANIZADO, LARGURA DE 200MM E ALTURA DE 50MM - FORNECIMENTO E
INSTALAÇÃO.</t>
  </si>
  <si>
    <t>CURVA HORIZONTAL 90º, PARA ELETROCALHA, LISA OU PERFURADA EM AÇO GALVANIZADO, LARGURA
DE 200MM E ALTURA DE 50MM</t>
  </si>
  <si>
    <t>CURVA VERTICAL 90º, PARA ELETROCALHA, LISA OU PERFURADA EM AÇO GALVANIZADO, LARGURA DE 200MM E ALTURA DE 50MM - FORNECIMENTO E
INSTALAÇÃO.</t>
  </si>
  <si>
    <t>CURVA VERTICAL 90º, PARA ELETROCALHA, LISA
OU PERFURADA EM AÇO GALVANIZADO, LARGURA
DE 200MM E ALTURA DE 50MM</t>
  </si>
  <si>
    <t>CRUZETA, PARA ELETROCALHA, LISA OU PERFURADA EM AÇO GALVANIZADO, LARGURA DE 200MM E ALTURA DE 50MM - FORNECIMENTO E INSTALAÇÃO.</t>
  </si>
  <si>
    <t>CRUZETA, PARA ELETROCALHA, LISA OU PERFURADA EM AÇO GALVANIZADO, LARGURA DE 200MM E ALTURA DE 50MM</t>
  </si>
  <si>
    <t>DISPOSITIVO DR, 2 POLOS, SENSIBILIDADE DE 300 MA, CORRENTE DE 25 A,</t>
  </si>
  <si>
    <t>TERMINAL A COMPRESSAO EM COBRE ESTANHADO PARA CABO 6 MM2, 1 FURO E 1 COMPRESSAO, PARA PARAFUSO DE FIXACAO M6</t>
  </si>
  <si>
    <t>DISPOSITIVO DR, 2 POLOS, SENSIBILIDADE DE 300 MA, CORRENTE DE 40 A</t>
  </si>
  <si>
    <t>CURVA VERTICAL 90º, PARA ELETROCALHA, LISA OU PERFURADA EM AÇO GALVANIZADO, LARGURA DE 100MM E ALTURA DE 50MM - FORNECIMENTO E
INSTALAÇÃO.</t>
  </si>
  <si>
    <t>ENGENHEIRO ELETRICISTA COM ENCARGOS COMPLEMENTARES</t>
  </si>
  <si>
    <t>DISJUNTOR TIPO DIN / IEC, MONOPOLAR DE 80A</t>
  </si>
  <si>
    <t>ETAPA 4</t>
  </si>
  <si>
    <t>REFORMA DA UNIDADE DE TRATAMENTO INTENSIVO-UTI-ADULTOS DO HOSPITAL GETÚLIO VARGAS</t>
  </si>
  <si>
    <t>CRONOGRAMA FÍSICO-FINANCEIRO</t>
  </si>
  <si>
    <t>SISTEMA DE CLIMATIZAÇÃO</t>
  </si>
  <si>
    <t>VB</t>
  </si>
  <si>
    <t>15.1</t>
  </si>
  <si>
    <t>15.2</t>
  </si>
  <si>
    <t>COMPOSIÇÃO 5</t>
  </si>
  <si>
    <t>100702</t>
  </si>
  <si>
    <t>PORTA DE CORRER DE ALUMÍNIO, COM DUAS FOLHAS PARA VIDRO, INCLUSO VIDRO LISO INCOLOR, FECHADURA E PUXADOR, SEM ALIZAR. AF_12/2019</t>
  </si>
  <si>
    <t>Obra.: REFORMA DA UNIDADE DE TRATAMENTO INTENSIVO-UTI-ADULTOS DO HOSPITAL GETÚLIO VARGAS</t>
  </si>
  <si>
    <t>Área de Intervenção:  322,93m²</t>
  </si>
  <si>
    <t>101163</t>
  </si>
  <si>
    <t>ALVENARIA DE VEDAÇÃO COM BLOCO DE VIDRO VAZADO, TIPO VENEZIANA, DE 6X20X20CM E ARGAMASSA DE ASSENTAMENTO COM PREPARO EM BETONEIRA. AF_05/2020</t>
  </si>
  <si>
    <t/>
  </si>
  <si>
    <t>COMPOSIÇÃO 13</t>
  </si>
  <si>
    <t>PAREDE COM PLACAS DE GESSO ACARTONADO (DRYWALL) RESISTENTE AO FOGO, PARA USO INTERNO, COM DUAS FACES DUPLAS E ESTRUTURA METÁLICA COM GUIAS DUPLAS, SEM VÃOS. AF_06/2017_P</t>
  </si>
  <si>
    <t>PLACA / CHAPA DE GESSO ACARTONADO, RESISTENTE AO FOGO (RF), COR ROSA, E = 12,5 MM, 1200 X 2400 MM (L X C)</t>
  </si>
  <si>
    <t>PERFIL MONTANTE, FORMATO C, EM ACO ZINCADO, PARA ESTRUTURA PAREDE DRYWALL, E = 0,5 MM, 48 X 3000 MM (L X C)</t>
  </si>
  <si>
    <t>PERFIL GUIA, FORMATO U, EM ACO ZINCADO, PARA ESTRUTURA PAREDE DRYWALL, E = 0,5 MM, 48  X 3000 MM (L X C)</t>
  </si>
  <si>
    <t>COMPOSIÇÃO 14</t>
  </si>
  <si>
    <t>PAREDE COM PLACAS DE GESSO ACARTONADO (DRYWALL) RESISTENTE A UMIDADE, PARA USO INTERNO, COM UMA FACE SIMPLES (PLACA SOMENTE DE UM LADO) E ESTRUTURA METÁLICA COM GUIAS SIMPLES, SEM VÃOS. AF_06/2017_P</t>
  </si>
  <si>
    <t>3.5</t>
  </si>
  <si>
    <t>3.6</t>
  </si>
  <si>
    <t>97643</t>
  </si>
  <si>
    <t>REMOÇÃO DE PISO DE MADEIRA (ASSOALHO E BARROTE), DE FORMA MANUAL, SEM REAPROVEITAMENTO. AF_12/2017</t>
  </si>
  <si>
    <t>2.8</t>
  </si>
  <si>
    <t>DUTOS PARA RETORNO DO AR CONDICIONADO</t>
  </si>
  <si>
    <t>LIMPEZA DO DUTOS DE AR CONDICIONADO EXISTENTES</t>
  </si>
  <si>
    <t>SISTEMA DE EXAUSTÃO DOS VESTIÁRIOS, SANITÁRIOS E SALA DE UTILIDADES</t>
  </si>
  <si>
    <t>14.2</t>
  </si>
  <si>
    <t>14.3</t>
  </si>
  <si>
    <t>98678</t>
  </si>
  <si>
    <t>PISO ELEVADO COM ESTRUTURA EM AÇO, COMPOSTO POR PEDESTAIS E LONGARINAS. AF_09/2020</t>
  </si>
  <si>
    <t>5.5</t>
  </si>
</sst>
</file>

<file path=xl/styles.xml><?xml version="1.0" encoding="utf-8"?>
<styleSheet xmlns="http://schemas.openxmlformats.org/spreadsheetml/2006/main">
  <numFmts count="8">
    <numFmt numFmtId="43" formatCode="_-* #,##0.00_-;\-* #,##0.00_-;_-* &quot;-&quot;??_-;_-@_-"/>
    <numFmt numFmtId="164" formatCode="_-&quot;R$ &quot;* #,##0.00_-;&quot;-R$ &quot;* #,##0.00_-;_-&quot;R$ &quot;* \-??_-;_-@_-"/>
    <numFmt numFmtId="165" formatCode="_(&quot;R$ &quot;* #,##0.00_);_(&quot;R$ &quot;* \(#,##0.00\);_(&quot;R$ &quot;* \-??_);_(@_)"/>
    <numFmt numFmtId="166" formatCode="_-* #,##0.00_-;\-* #,##0.00_-;_-* \-??_-;_-@_-"/>
    <numFmt numFmtId="167" formatCode="&quot;R$ &quot;#,##0.00"/>
    <numFmt numFmtId="168" formatCode="_(* #,##0.00_);_(* \(#,##0.00\);_(* \-??_);_(@_)"/>
    <numFmt numFmtId="169" formatCode="&quot;R$&quot;\ #,##0.00"/>
    <numFmt numFmtId="170" formatCode="0.0%"/>
  </numFmts>
  <fonts count="24">
    <font>
      <sz val="11"/>
      <color rgb="FF000000"/>
      <name val="Calibri"/>
      <family val="2"/>
    </font>
    <font>
      <sz val="10"/>
      <name val="Arial"/>
      <family val="2"/>
    </font>
    <font>
      <sz val="14"/>
      <color rgb="FF000000"/>
      <name val="Calibri"/>
      <family val="2"/>
    </font>
    <font>
      <b/>
      <sz val="14"/>
      <color rgb="FF000000"/>
      <name val="Calibri"/>
      <family val="2"/>
    </font>
    <font>
      <b/>
      <sz val="28"/>
      <color rgb="FF000000"/>
      <name val="Calibri"/>
      <family val="2"/>
    </font>
    <font>
      <sz val="24"/>
      <color rgb="FF000000"/>
      <name val="Calibri"/>
      <family val="2"/>
    </font>
    <font>
      <sz val="14"/>
      <name val="Calibri"/>
      <family val="2"/>
    </font>
    <font>
      <sz val="12"/>
      <color rgb="FF000000"/>
      <name val="Calibri"/>
      <family val="2"/>
    </font>
    <font>
      <sz val="10"/>
      <name val="Courier New"/>
      <family val="3"/>
    </font>
    <font>
      <sz val="10"/>
      <color rgb="FF000000"/>
      <name val="Calibri"/>
      <family val="2"/>
    </font>
    <font>
      <sz val="11"/>
      <color rgb="FF800000"/>
      <name val="Calibri"/>
      <family val="2"/>
    </font>
    <font>
      <b/>
      <sz val="10"/>
      <color rgb="FF000000"/>
      <name val="Calibri"/>
      <family val="2"/>
    </font>
    <font>
      <sz val="10"/>
      <name val="Calibri"/>
      <family val="2"/>
    </font>
    <font>
      <b/>
      <sz val="11"/>
      <color theme="0"/>
      <name val="Calibri"/>
      <family val="2"/>
      <scheme val="minor"/>
    </font>
    <font>
      <b/>
      <sz val="11"/>
      <color theme="1"/>
      <name val="Calibri"/>
      <family val="2"/>
      <scheme val="minor"/>
    </font>
    <font>
      <sz val="11"/>
      <color theme="0"/>
      <name val="Calibri"/>
      <family val="2"/>
      <scheme val="minor"/>
    </font>
    <font>
      <b/>
      <sz val="11"/>
      <name val="Arial"/>
      <family val="2"/>
    </font>
    <font>
      <b/>
      <sz val="10"/>
      <name val="Arial"/>
      <family val="2"/>
    </font>
    <font>
      <sz val="10"/>
      <color rgb="FF000000"/>
      <name val="Arial"/>
      <family val="2"/>
    </font>
    <font>
      <b/>
      <sz val="16"/>
      <name val="Arial"/>
      <family val="2"/>
    </font>
    <font>
      <b/>
      <sz val="14"/>
      <name val="Arial"/>
      <family val="2"/>
    </font>
    <font>
      <b/>
      <sz val="8"/>
      <name val="Arial"/>
      <family val="2"/>
    </font>
    <font>
      <b/>
      <sz val="12"/>
      <name val="Times New Roman"/>
      <family val="1"/>
    </font>
    <font>
      <sz val="8"/>
      <color rgb="FF000000"/>
      <name val="Arial"/>
      <family val="2"/>
    </font>
  </fonts>
  <fills count="15">
    <fill>
      <patternFill/>
    </fill>
    <fill>
      <patternFill patternType="gray125"/>
    </fill>
    <fill>
      <patternFill patternType="solid">
        <fgColor rgb="FFFFCC99"/>
        <bgColor indexed="64"/>
      </patternFill>
    </fill>
    <fill>
      <patternFill patternType="solid">
        <fgColor rgb="FFFFFFFF"/>
        <bgColor indexed="64"/>
      </patternFill>
    </fill>
    <fill>
      <patternFill patternType="solid">
        <fgColor rgb="FFFFFF00"/>
        <bgColor indexed="64"/>
      </patternFill>
    </fill>
    <fill>
      <patternFill patternType="solid">
        <fgColor rgb="FFA5A5A5"/>
        <bgColor indexed="64"/>
      </patternFill>
    </fill>
    <fill>
      <patternFill patternType="solid">
        <fgColor theme="1"/>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D9D9D9"/>
        <bgColor indexed="64"/>
      </patternFill>
    </fill>
    <fill>
      <patternFill patternType="solid">
        <fgColor rgb="FFBFBFBF"/>
        <bgColor indexed="64"/>
      </patternFill>
    </fill>
    <fill>
      <patternFill patternType="solid">
        <fgColor rgb="FFD8D8D8"/>
        <bgColor indexed="64"/>
      </patternFill>
    </fill>
  </fills>
  <borders count="42">
    <border>
      <left/>
      <right/>
      <top/>
      <bottom/>
      <diagonal/>
    </border>
    <border>
      <left style="hair"/>
      <right style="hair"/>
      <top style="hair"/>
      <bottom style="hair"/>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right style="medium"/>
      <top style="medium"/>
      <bottom style="medium"/>
    </border>
    <border>
      <left/>
      <right/>
      <top style="medium"/>
      <bottom/>
    </border>
    <border>
      <left/>
      <right style="medium"/>
      <top style="medium"/>
      <bottom/>
    </border>
    <border>
      <left style="medium"/>
      <right style="medium"/>
      <top style="medium"/>
      <bottom style="medium"/>
    </border>
    <border>
      <left style="thin">
        <color indexed="8"/>
      </left>
      <right style="thin">
        <color indexed="8"/>
      </right>
      <top style="medium">
        <color indexed="8"/>
      </top>
      <bottom/>
    </border>
    <border>
      <left style="thin">
        <color indexed="8"/>
      </left>
      <right/>
      <top style="medium">
        <color indexed="8"/>
      </top>
      <bottom/>
    </border>
    <border>
      <left style="medium">
        <color indexed="8"/>
      </left>
      <right/>
      <top/>
      <bottom/>
    </border>
    <border>
      <left style="medium"/>
      <right style="medium"/>
      <top style="medium"/>
      <bottom/>
    </border>
    <border>
      <left style="medium"/>
      <right style="thin"/>
      <top style="medium"/>
      <bottom/>
    </border>
    <border>
      <left style="thin"/>
      <right style="thin"/>
      <top style="medium"/>
      <bottom/>
    </border>
    <border>
      <left style="thin">
        <color indexed="8"/>
      </left>
      <right style="thin">
        <color indexed="8"/>
      </right>
      <top/>
      <bottom style="medium">
        <color indexed="8"/>
      </bottom>
    </border>
    <border>
      <left style="thin">
        <color indexed="8"/>
      </left>
      <right/>
      <top/>
      <bottom style="medium">
        <color indexed="8"/>
      </bottom>
    </border>
    <border>
      <left/>
      <right style="medium"/>
      <top/>
      <bottom/>
    </border>
    <border>
      <left style="medium">
        <color indexed="8"/>
      </left>
      <right style="thin">
        <color indexed="8"/>
      </right>
      <top/>
      <bottom/>
    </border>
    <border>
      <left style="thin">
        <color indexed="8"/>
      </left>
      <right style="thin">
        <color indexed="8"/>
      </right>
      <top/>
      <bottom/>
    </border>
    <border>
      <left style="thin">
        <color indexed="8"/>
      </left>
      <right/>
      <top/>
      <bottom/>
    </border>
    <border>
      <left/>
      <right/>
      <top style="medium"/>
      <bottom style="medium"/>
    </border>
    <border>
      <left/>
      <right/>
      <top/>
      <bottom style="medium"/>
    </border>
    <border>
      <left/>
      <right style="medium"/>
      <top/>
      <bottom style="mediu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top style="medium">
        <color indexed="8"/>
      </top>
      <bottom style="medium">
        <color indexed="8"/>
      </bottom>
    </border>
    <border>
      <left style="medium"/>
      <right/>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medium">
        <color indexed="8"/>
      </left>
      <right style="thin">
        <color indexed="8"/>
      </right>
      <top style="medium">
        <color indexed="8"/>
      </top>
      <bottom/>
    </border>
    <border>
      <left style="medium">
        <color indexed="8"/>
      </left>
      <right style="thin">
        <color indexed="8"/>
      </right>
      <top/>
      <bottom style="medium">
        <color indexed="8"/>
      </bottom>
    </border>
    <border>
      <left style="medium"/>
      <right/>
      <top/>
      <bottom style="medium"/>
    </border>
    <border>
      <left style="medium"/>
      <right/>
      <top style="medium"/>
      <bottom style="medium"/>
    </border>
    <border>
      <left style="medium"/>
      <right/>
      <top/>
      <bottom/>
    </border>
    <border>
      <left style="medium"/>
      <right style="medium"/>
      <top/>
      <bottom style="mediu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6" fontId="0" fillId="0" borderId="0" applyBorder="0" applyProtection="0">
      <alignment/>
    </xf>
    <xf numFmtId="164" fontId="0" fillId="0" borderId="0" applyBorder="0" applyProtection="0">
      <alignment/>
    </xf>
    <xf numFmtId="9" fontId="1" fillId="0" borderId="0" applyBorder="0" applyAlignment="0" applyProtection="0"/>
    <xf numFmtId="0" fontId="10" fillId="2" borderId="0">
      <alignment/>
      <protection/>
    </xf>
    <xf numFmtId="0" fontId="1" fillId="0" borderId="0">
      <alignment/>
      <protection/>
    </xf>
    <xf numFmtId="9" fontId="1" fillId="0" borderId="0" applyFont="0" applyFill="0" applyBorder="0" applyAlignment="0" applyProtection="0"/>
  </cellStyleXfs>
  <cellXfs count="298">
    <xf numFmtId="0" fontId="0" fillId="0" borderId="0" xfId="0"/>
    <xf numFmtId="0" fontId="2" fillId="0" borderId="0" xfId="0" applyFont="1" applyAlignment="1">
      <alignment horizontal="center"/>
    </xf>
    <xf numFmtId="0" fontId="2" fillId="0" borderId="0" xfId="0" applyFont="1"/>
    <xf numFmtId="2" fontId="2" fillId="3" borderId="0" xfId="0" applyNumberFormat="1" applyFont="1" applyFill="1" applyAlignment="1">
      <alignment vertical="center"/>
    </xf>
    <xf numFmtId="0" fontId="2" fillId="0" borderId="0" xfId="0" applyFont="1" applyAlignment="1">
      <alignment horizontal="center" vertical="center"/>
    </xf>
    <xf numFmtId="165" fontId="2" fillId="0" borderId="0" xfId="21" applyNumberFormat="1" applyFont="1" applyBorder="1" applyAlignment="1" applyProtection="1">
      <alignment horizontal="right" vertical="center"/>
      <protection/>
    </xf>
    <xf numFmtId="0" fontId="2" fillId="0" borderId="0" xfId="0" applyFont="1" applyAlignment="1">
      <alignment vertical="center"/>
    </xf>
    <xf numFmtId="0" fontId="3" fillId="0" borderId="0" xfId="0" applyFont="1" applyAlignment="1">
      <alignment vertical="center"/>
    </xf>
    <xf numFmtId="0" fontId="2" fillId="3" borderId="0" xfId="0" applyFont="1" applyFill="1" applyAlignment="1">
      <alignment vertical="center"/>
    </xf>
    <xf numFmtId="0" fontId="2" fillId="0" borderId="0" xfId="0" applyFont="1" applyAlignment="1">
      <alignment vertical="center"/>
    </xf>
    <xf numFmtId="0" fontId="3" fillId="0" borderId="0" xfId="0" applyFont="1" applyAlignment="1">
      <alignment vertical="center"/>
    </xf>
    <xf numFmtId="0" fontId="3" fillId="3" borderId="0" xfId="0" applyFont="1" applyFill="1" applyAlignment="1">
      <alignment vertical="center"/>
    </xf>
    <xf numFmtId="0" fontId="2" fillId="4" borderId="0" xfId="0" applyFont="1" applyFill="1" applyAlignment="1">
      <alignment vertical="center"/>
    </xf>
    <xf numFmtId="4" fontId="2" fillId="0" borderId="0" xfId="21" applyNumberFormat="1" applyFont="1" applyBorder="1" applyAlignment="1" applyProtection="1">
      <alignment horizontal="right" vertical="center"/>
      <protection/>
    </xf>
    <xf numFmtId="0" fontId="8" fillId="0" borderId="0" xfId="0" applyFont="1" applyAlignment="1">
      <alignment horizontal="left"/>
    </xf>
    <xf numFmtId="0" fontId="8" fillId="0" borderId="0" xfId="23" applyFont="1" applyFill="1" applyAlignment="1">
      <alignment horizontal="left"/>
      <protection/>
    </xf>
    <xf numFmtId="0" fontId="9" fillId="0" borderId="0" xfId="0" applyFont="1"/>
    <xf numFmtId="0" fontId="11" fillId="0" borderId="0" xfId="0" applyFont="1" applyAlignment="1">
      <alignment horizontal="center"/>
    </xf>
    <xf numFmtId="0" fontId="11" fillId="0" borderId="1" xfId="0" applyFont="1" applyBorder="1" applyAlignment="1">
      <alignment horizontal="center"/>
    </xf>
    <xf numFmtId="0" fontId="11" fillId="0" borderId="1" xfId="0" applyFont="1" applyBorder="1" applyAlignment="1">
      <alignment horizont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xf>
    <xf numFmtId="2" fontId="12" fillId="0" borderId="1" xfId="0" applyNumberFormat="1" applyFont="1" applyBorder="1" applyAlignment="1">
      <alignment horizontal="center" vertical="center"/>
    </xf>
    <xf numFmtId="0" fontId="9" fillId="0" borderId="1" xfId="0" applyFont="1" applyBorder="1" applyAlignment="1">
      <alignment horizontal="center" wrapText="1"/>
    </xf>
    <xf numFmtId="0" fontId="9" fillId="0" borderId="1" xfId="0" applyFont="1" applyBorder="1" applyAlignment="1">
      <alignment horizontal="center"/>
    </xf>
    <xf numFmtId="0" fontId="9" fillId="0" borderId="1" xfId="0" applyFont="1" applyBorder="1"/>
    <xf numFmtId="2" fontId="9" fillId="0" borderId="1" xfId="0" applyNumberFormat="1" applyFont="1" applyBorder="1"/>
    <xf numFmtId="0" fontId="9" fillId="0" borderId="1" xfId="0" applyFont="1" applyBorder="1" applyAlignment="1">
      <alignment horizontal="left" wrapText="1"/>
    </xf>
    <xf numFmtId="0" fontId="9" fillId="0" borderId="1" xfId="0" applyFont="1" applyBorder="1" applyAlignment="1">
      <alignment horizontal="left" vertical="center" wrapText="1"/>
    </xf>
    <xf numFmtId="0" fontId="1" fillId="0" borderId="2" xfId="24" applyFont="1" applyBorder="1">
      <alignment/>
      <protection/>
    </xf>
    <xf numFmtId="0" fontId="1" fillId="0" borderId="3" xfId="24" applyFont="1" applyBorder="1">
      <alignment/>
      <protection/>
    </xf>
    <xf numFmtId="0" fontId="1" fillId="0" borderId="4" xfId="24" applyFont="1" applyBorder="1">
      <alignment/>
      <protection/>
    </xf>
    <xf numFmtId="0" fontId="17" fillId="5" borderId="2" xfId="24" applyFont="1" applyFill="1" applyBorder="1">
      <alignment/>
      <protection/>
    </xf>
    <xf numFmtId="0" fontId="17" fillId="5" borderId="3" xfId="24" applyFont="1" applyFill="1" applyBorder="1" applyAlignment="1">
      <alignment horizontal="center"/>
      <protection/>
    </xf>
    <xf numFmtId="0" fontId="17" fillId="5" borderId="4" xfId="24" applyFont="1" applyFill="1" applyBorder="1" applyAlignment="1">
      <alignment horizontal="center"/>
      <protection/>
    </xf>
    <xf numFmtId="0" fontId="1" fillId="0" borderId="3" xfId="24" applyFont="1" applyBorder="1" applyAlignment="1">
      <alignment horizontal="center"/>
      <protection/>
    </xf>
    <xf numFmtId="0" fontId="1" fillId="0" borderId="4" xfId="24" applyFont="1" applyBorder="1" applyAlignment="1">
      <alignment horizontal="center"/>
      <protection/>
    </xf>
    <xf numFmtId="0" fontId="17" fillId="0" borderId="2" xfId="24" applyFont="1" applyBorder="1">
      <alignment/>
      <protection/>
    </xf>
    <xf numFmtId="10" fontId="17" fillId="0" borderId="4" xfId="25" applyNumberFormat="1" applyFont="1" applyBorder="1"/>
    <xf numFmtId="10" fontId="18" fillId="0" borderId="3" xfId="25" applyNumberFormat="1" applyFont="1" applyBorder="1" applyAlignment="1">
      <alignment horizontal="center"/>
    </xf>
    <xf numFmtId="10" fontId="18" fillId="0" borderId="4" xfId="25" applyNumberFormat="1" applyFont="1" applyBorder="1" applyAlignment="1">
      <alignment horizontal="center"/>
    </xf>
    <xf numFmtId="0" fontId="17" fillId="0" borderId="3" xfId="24" applyFont="1" applyBorder="1">
      <alignment/>
      <protection/>
    </xf>
    <xf numFmtId="10" fontId="17" fillId="0" borderId="3" xfId="25" applyNumberFormat="1" applyFont="1" applyBorder="1" applyAlignment="1">
      <alignment horizontal="center"/>
    </xf>
    <xf numFmtId="10" fontId="17" fillId="0" borderId="4" xfId="25" applyNumberFormat="1" applyFont="1" applyBorder="1" applyAlignment="1">
      <alignment horizontal="center"/>
    </xf>
    <xf numFmtId="0" fontId="1" fillId="0" borderId="3" xfId="24" applyFont="1" applyBorder="1" applyAlignment="1">
      <alignment horizontal="justify"/>
      <protection/>
    </xf>
    <xf numFmtId="0" fontId="1" fillId="0" borderId="2" xfId="24" applyFont="1" applyBorder="1" applyAlignment="1">
      <alignment vertical="center"/>
      <protection/>
    </xf>
    <xf numFmtId="10" fontId="18" fillId="0" borderId="3" xfId="25" applyNumberFormat="1" applyFont="1" applyBorder="1" applyAlignment="1">
      <alignment horizontal="center" vertical="center"/>
    </xf>
    <xf numFmtId="10" fontId="18" fillId="0" borderId="4" xfId="25" applyNumberFormat="1" applyFont="1" applyBorder="1" applyAlignment="1">
      <alignment horizontal="center" vertical="center"/>
    </xf>
    <xf numFmtId="10" fontId="17" fillId="0" borderId="3" xfId="24" applyNumberFormat="1" applyFont="1" applyBorder="1" applyAlignment="1">
      <alignment horizontal="center"/>
      <protection/>
    </xf>
    <xf numFmtId="10" fontId="17" fillId="0" borderId="4" xfId="24" applyNumberFormat="1" applyFont="1" applyBorder="1" applyAlignment="1">
      <alignment horizontal="center"/>
      <protection/>
    </xf>
    <xf numFmtId="10" fontId="17" fillId="5" borderId="5" xfId="24" applyNumberFormat="1" applyFont="1" applyFill="1" applyBorder="1" applyAlignment="1">
      <alignment horizontal="center"/>
      <protection/>
    </xf>
    <xf numFmtId="10" fontId="17" fillId="5" borderId="6" xfId="24" applyNumberFormat="1" applyFont="1" applyFill="1" applyBorder="1" applyAlignment="1">
      <alignment horizontal="center"/>
      <protection/>
    </xf>
    <xf numFmtId="0" fontId="15" fillId="6" borderId="0" xfId="0" applyFont="1" applyFill="1"/>
    <xf numFmtId="0" fontId="15" fillId="7" borderId="0" xfId="0" applyFont="1" applyFill="1"/>
    <xf numFmtId="0" fontId="14" fillId="8" borderId="7" xfId="0" applyFont="1" applyFill="1" applyBorder="1"/>
    <xf numFmtId="0" fontId="14" fillId="8" borderId="8" xfId="0" applyFont="1" applyFill="1" applyBorder="1"/>
    <xf numFmtId="0" fontId="14" fillId="8" borderId="9" xfId="0" applyFont="1" applyFill="1" applyBorder="1"/>
    <xf numFmtId="0" fontId="13" fillId="6" borderId="0" xfId="0" applyFont="1" applyFill="1"/>
    <xf numFmtId="0" fontId="15" fillId="6" borderId="10" xfId="0" applyFont="1" applyFill="1" applyBorder="1"/>
    <xf numFmtId="0" fontId="15" fillId="6" borderId="11" xfId="0" applyFont="1" applyFill="1" applyBorder="1"/>
    <xf numFmtId="0" fontId="0" fillId="0" borderId="12" xfId="0" applyBorder="1"/>
    <xf numFmtId="10" fontId="0" fillId="0" borderId="7" xfId="0" applyNumberFormat="1" applyBorder="1" applyAlignment="1">
      <alignment horizontal="center" vertical="center"/>
    </xf>
    <xf numFmtId="10" fontId="0" fillId="0" borderId="8" xfId="0" applyNumberFormat="1" applyBorder="1" applyAlignment="1">
      <alignment horizontal="center" vertical="center"/>
    </xf>
    <xf numFmtId="10" fontId="0" fillId="0" borderId="9" xfId="0" applyNumberFormat="1" applyBorder="1" applyAlignment="1">
      <alignment horizontal="center"/>
    </xf>
    <xf numFmtId="10" fontId="0" fillId="0" borderId="7" xfId="0" applyNumberFormat="1" applyBorder="1" applyAlignment="1">
      <alignment horizontal="center"/>
    </xf>
    <xf numFmtId="10" fontId="0" fillId="0" borderId="8" xfId="0" applyNumberFormat="1" applyBorder="1" applyAlignment="1">
      <alignment horizontal="center"/>
    </xf>
    <xf numFmtId="0" fontId="0" fillId="0" borderId="0" xfId="0" applyAlignment="1">
      <alignment vertical="center"/>
    </xf>
    <xf numFmtId="0" fontId="0" fillId="9" borderId="13" xfId="0" applyFont="1" applyFill="1" applyBorder="1" applyAlignment="1">
      <alignment horizontal="center" vertical="center"/>
    </xf>
    <xf numFmtId="0" fontId="0" fillId="9" borderId="14"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0" xfId="0" applyFont="1" applyFill="1" applyBorder="1" applyAlignment="1">
      <alignment horizontal="center" vertical="center"/>
    </xf>
    <xf numFmtId="0" fontId="0" fillId="10" borderId="10" xfId="0" applyFill="1" applyBorder="1"/>
    <xf numFmtId="0" fontId="0" fillId="10" borderId="11" xfId="0" applyFill="1" applyBorder="1"/>
    <xf numFmtId="0" fontId="0" fillId="7" borderId="16" xfId="0" applyFill="1" applyBorder="1" applyAlignment="1">
      <alignment vertical="center" wrapText="1"/>
    </xf>
    <xf numFmtId="10" fontId="0" fillId="0" borderId="17" xfId="0" applyNumberFormat="1" applyBorder="1" applyAlignment="1">
      <alignment horizontal="center" vertical="center"/>
    </xf>
    <xf numFmtId="10" fontId="0" fillId="0" borderId="18" xfId="0" applyNumberFormat="1" applyBorder="1" applyAlignment="1">
      <alignment horizontal="center" vertical="center"/>
    </xf>
    <xf numFmtId="10" fontId="0" fillId="0" borderId="11" xfId="0" applyNumberFormat="1" applyBorder="1" applyAlignment="1">
      <alignment horizontal="center" vertical="center"/>
    </xf>
    <xf numFmtId="0" fontId="17" fillId="9" borderId="19" xfId="0" applyFont="1" applyFill="1" applyBorder="1" applyAlignment="1">
      <alignment horizontal="center" vertical="center"/>
    </xf>
    <xf numFmtId="0" fontId="17" fillId="9" borderId="20" xfId="0" applyFont="1" applyFill="1" applyBorder="1" applyAlignment="1">
      <alignment horizontal="center" vertical="center"/>
    </xf>
    <xf numFmtId="0" fontId="0" fillId="10" borderId="0" xfId="0" applyFill="1" applyBorder="1"/>
    <xf numFmtId="0" fontId="0" fillId="10" borderId="21" xfId="0" applyFill="1" applyBorder="1"/>
    <xf numFmtId="0" fontId="0" fillId="7" borderId="16" xfId="0" applyFill="1" applyBorder="1" applyAlignment="1">
      <alignment wrapText="1"/>
    </xf>
    <xf numFmtId="0" fontId="17" fillId="0" borderId="22" xfId="0" applyFont="1" applyBorder="1" applyAlignment="1">
      <alignment horizontal="center" vertical="center"/>
    </xf>
    <xf numFmtId="0" fontId="0" fillId="0" borderId="23" xfId="0" applyBorder="1" applyAlignment="1">
      <alignment horizontal="center" vertical="center"/>
    </xf>
    <xf numFmtId="0" fontId="17" fillId="0" borderId="23" xfId="0" applyFont="1" applyFill="1" applyBorder="1" applyAlignment="1">
      <alignment horizontal="center" vertical="center"/>
    </xf>
    <xf numFmtId="0" fontId="17" fillId="0" borderId="24" xfId="0" applyFont="1" applyFill="1" applyBorder="1" applyAlignment="1">
      <alignment horizontal="center" vertical="center"/>
    </xf>
    <xf numFmtId="0" fontId="0" fillId="0" borderId="12" xfId="0" applyBorder="1"/>
    <xf numFmtId="10" fontId="0" fillId="0" borderId="7" xfId="0" applyNumberFormat="1" applyBorder="1" applyAlignment="1">
      <alignment horizontal="center"/>
    </xf>
    <xf numFmtId="10" fontId="0" fillId="0" borderId="8" xfId="0" applyNumberFormat="1" applyBorder="1" applyAlignment="1">
      <alignment horizontal="center" vertical="center"/>
    </xf>
    <xf numFmtId="10" fontId="0" fillId="0" borderId="9" xfId="0" applyNumberFormat="1" applyBorder="1" applyAlignment="1">
      <alignment horizontal="center"/>
    </xf>
    <xf numFmtId="0" fontId="0" fillId="0" borderId="7" xfId="0" applyBorder="1" applyAlignment="1">
      <alignment horizontal="center"/>
    </xf>
    <xf numFmtId="10" fontId="0" fillId="0" borderId="8" xfId="0" applyNumberFormat="1" applyBorder="1" applyAlignment="1">
      <alignment horizontal="center"/>
    </xf>
    <xf numFmtId="0" fontId="17" fillId="8" borderId="22" xfId="0" applyFont="1" applyFill="1" applyBorder="1" applyAlignment="1">
      <alignment horizontal="center" vertical="center"/>
    </xf>
    <xf numFmtId="0" fontId="17" fillId="8" borderId="23" xfId="0" applyFont="1" applyFill="1" applyBorder="1" applyAlignment="1">
      <alignment vertical="center"/>
    </xf>
    <xf numFmtId="43" fontId="17" fillId="8" borderId="23" xfId="0" applyNumberFormat="1" applyFont="1" applyFill="1" applyBorder="1" applyAlignment="1">
      <alignment horizontal="right" vertical="center"/>
    </xf>
    <xf numFmtId="43" fontId="17" fillId="8" borderId="24" xfId="0" applyNumberFormat="1" applyFont="1" applyFill="1" applyBorder="1" applyAlignment="1">
      <alignment horizontal="right" vertical="center"/>
    </xf>
    <xf numFmtId="0" fontId="0" fillId="0" borderId="15" xfId="0" applyBorder="1" applyAlignment="1">
      <alignment vertical="center"/>
    </xf>
    <xf numFmtId="4" fontId="17" fillId="0" borderId="0" xfId="0" applyNumberFormat="1" applyFont="1" applyBorder="1" applyAlignment="1">
      <alignment vertical="center"/>
    </xf>
    <xf numFmtId="0" fontId="0" fillId="0" borderId="22" xfId="0" applyFont="1" applyBorder="1" applyAlignment="1">
      <alignment horizontal="center" vertical="center"/>
    </xf>
    <xf numFmtId="0" fontId="0" fillId="0" borderId="23" xfId="0" applyBorder="1" applyAlignment="1">
      <alignment vertical="center"/>
    </xf>
    <xf numFmtId="43" fontId="0" fillId="0" borderId="23" xfId="0" applyNumberFormat="1" applyFont="1" applyBorder="1" applyAlignment="1">
      <alignment vertical="center"/>
    </xf>
    <xf numFmtId="43" fontId="0" fillId="0" borderId="24" xfId="0" applyNumberFormat="1" applyFont="1" applyBorder="1" applyAlignment="1">
      <alignment vertical="center"/>
    </xf>
    <xf numFmtId="4" fontId="0" fillId="0" borderId="15" xfId="0" applyNumberFormat="1" applyFont="1" applyBorder="1" applyAlignment="1">
      <alignment vertical="center"/>
    </xf>
    <xf numFmtId="0" fontId="0" fillId="0" borderId="0" xfId="0" applyBorder="1" applyAlignment="1">
      <alignment vertical="center"/>
    </xf>
    <xf numFmtId="0" fontId="14" fillId="8" borderId="7" xfId="0" applyFont="1" applyFill="1" applyBorder="1" applyAlignment="1">
      <alignment horizontal="center"/>
    </xf>
    <xf numFmtId="0" fontId="14" fillId="8" borderId="8" xfId="0" applyFont="1" applyFill="1" applyBorder="1" applyAlignment="1">
      <alignment horizontal="center"/>
    </xf>
    <xf numFmtId="0" fontId="14" fillId="8" borderId="25" xfId="0" applyFont="1" applyFill="1" applyBorder="1" applyAlignment="1">
      <alignment horizontal="center"/>
    </xf>
    <xf numFmtId="0" fontId="14" fillId="8" borderId="9" xfId="0" applyFont="1" applyFill="1" applyBorder="1" applyAlignment="1">
      <alignment horizontal="center"/>
    </xf>
    <xf numFmtId="10" fontId="0" fillId="0" borderId="25" xfId="0" applyNumberFormat="1" applyBorder="1" applyAlignment="1">
      <alignment horizontal="center"/>
    </xf>
    <xf numFmtId="0" fontId="0" fillId="0" borderId="22" xfId="0" applyFont="1" applyBorder="1" applyAlignment="1">
      <alignment horizontal="right" vertical="center"/>
    </xf>
    <xf numFmtId="43" fontId="17" fillId="8" borderId="23" xfId="0" applyNumberFormat="1" applyFont="1" applyFill="1" applyBorder="1" applyAlignment="1">
      <alignment vertical="center"/>
    </xf>
    <xf numFmtId="43" fontId="17" fillId="8" borderId="24" xfId="0" applyNumberFormat="1" applyFont="1" applyFill="1" applyBorder="1" applyAlignment="1">
      <alignment vertical="center"/>
    </xf>
    <xf numFmtId="10" fontId="0" fillId="0" borderId="10" xfId="0" applyNumberFormat="1" applyBorder="1" applyAlignment="1">
      <alignment horizontal="center" vertical="center"/>
    </xf>
    <xf numFmtId="0" fontId="0" fillId="0" borderId="22" xfId="0" applyBorder="1" applyAlignment="1">
      <alignment horizontal="center" vertical="center"/>
    </xf>
    <xf numFmtId="0" fontId="0" fillId="0" borderId="23" xfId="0" applyFont="1" applyBorder="1" applyAlignment="1">
      <alignment horizontal="left" vertical="center"/>
    </xf>
    <xf numFmtId="0" fontId="0" fillId="10" borderId="26" xfId="0" applyFill="1" applyBorder="1"/>
    <xf numFmtId="0" fontId="0" fillId="10" borderId="27" xfId="0" applyFill="1" applyBorder="1"/>
    <xf numFmtId="43" fontId="0" fillId="0" borderId="23" xfId="0" applyNumberFormat="1" applyBorder="1" applyAlignment="1">
      <alignment horizontal="right" vertical="center"/>
    </xf>
    <xf numFmtId="4" fontId="0" fillId="0" borderId="0" xfId="0" applyNumberFormat="1" applyFont="1" applyBorder="1" applyAlignment="1">
      <alignment vertical="center"/>
    </xf>
    <xf numFmtId="43" fontId="0" fillId="8" borderId="23" xfId="0" applyNumberFormat="1" applyFont="1" applyFill="1" applyBorder="1" applyAlignment="1">
      <alignment vertical="center"/>
    </xf>
    <xf numFmtId="0" fontId="0" fillId="0" borderId="23" xfId="0" applyFont="1" applyBorder="1" applyAlignment="1">
      <alignment vertical="center"/>
    </xf>
    <xf numFmtId="43" fontId="17" fillId="8" borderId="0" xfId="0" applyNumberFormat="1" applyFont="1" applyFill="1" applyBorder="1" applyAlignment="1">
      <alignment vertical="center"/>
    </xf>
    <xf numFmtId="2" fontId="0" fillId="0" borderId="23" xfId="0" applyNumberFormat="1" applyFont="1" applyBorder="1" applyAlignment="1">
      <alignment vertical="center"/>
    </xf>
    <xf numFmtId="2" fontId="0" fillId="0" borderId="24" xfId="0" applyNumberFormat="1" applyFont="1" applyBorder="1" applyAlignment="1">
      <alignment vertical="center"/>
    </xf>
    <xf numFmtId="0" fontId="0" fillId="10" borderId="28" xfId="0" applyFont="1" applyFill="1" applyBorder="1" applyAlignment="1">
      <alignment horizontal="right" vertical="center"/>
    </xf>
    <xf numFmtId="0" fontId="17" fillId="10" borderId="29" xfId="0" applyFont="1" applyFill="1" applyBorder="1" applyAlignment="1">
      <alignment vertical="center"/>
    </xf>
    <xf numFmtId="2" fontId="17" fillId="10" borderId="29" xfId="0" applyNumberFormat="1" applyFont="1" applyFill="1" applyBorder="1" applyAlignment="1">
      <alignment vertical="center"/>
    </xf>
    <xf numFmtId="2" fontId="17" fillId="10" borderId="30" xfId="0" applyNumberFormat="1" applyFont="1" applyFill="1" applyBorder="1" applyAlignment="1">
      <alignment vertical="center"/>
    </xf>
    <xf numFmtId="4" fontId="0" fillId="0" borderId="15" xfId="0" applyNumberFormat="1" applyBorder="1" applyAlignment="1">
      <alignment vertical="center"/>
    </xf>
    <xf numFmtId="0" fontId="20" fillId="0" borderId="0" xfId="0" applyFont="1" applyBorder="1" applyAlignment="1">
      <alignment vertical="center"/>
    </xf>
    <xf numFmtId="43" fontId="20" fillId="0" borderId="0" xfId="0" applyNumberFormat="1" applyFont="1" applyAlignment="1">
      <alignment horizontal="center" vertical="center"/>
    </xf>
    <xf numFmtId="0" fontId="22" fillId="0" borderId="0" xfId="0" applyFont="1" applyAlignment="1">
      <alignment vertical="center"/>
    </xf>
    <xf numFmtId="0" fontId="15" fillId="6" borderId="31" xfId="0" applyFont="1" applyFill="1" applyBorder="1"/>
    <xf numFmtId="0" fontId="15" fillId="6" borderId="10" xfId="0" applyFont="1" applyFill="1" applyBorder="1"/>
    <xf numFmtId="0" fontId="0" fillId="0" borderId="0" xfId="0" applyAlignment="1" applyProtection="1">
      <alignment vertical="center"/>
      <protection/>
    </xf>
    <xf numFmtId="9" fontId="0" fillId="0" borderId="0" xfId="22" applyFont="1" applyFill="1" applyBorder="1" applyAlignment="1" applyProtection="1">
      <alignment vertical="center"/>
      <protection/>
    </xf>
    <xf numFmtId="168" fontId="0" fillId="0" borderId="0" xfId="20" applyNumberFormat="1" applyFont="1" applyFill="1" applyBorder="1" applyAlignment="1" applyProtection="1">
      <alignment vertical="center"/>
      <protection/>
    </xf>
    <xf numFmtId="0" fontId="8" fillId="0" borderId="3" xfId="0" applyFont="1" applyFill="1" applyBorder="1" applyAlignment="1">
      <alignment horizontal="left" vertical="center" wrapText="1"/>
    </xf>
    <xf numFmtId="0" fontId="0" fillId="11" borderId="3" xfId="0" applyFont="1" applyFill="1" applyBorder="1" applyAlignment="1" applyProtection="1">
      <alignment vertical="center"/>
      <protection/>
    </xf>
    <xf numFmtId="0" fontId="0" fillId="11" borderId="3" xfId="0" applyFill="1" applyBorder="1" applyAlignment="1" applyProtection="1">
      <alignment vertical="center"/>
      <protection/>
    </xf>
    <xf numFmtId="169" fontId="0" fillId="0" borderId="3" xfId="20" applyNumberFormat="1" applyFont="1" applyFill="1" applyBorder="1" applyAlignment="1" applyProtection="1">
      <alignment vertical="center"/>
      <protection/>
    </xf>
    <xf numFmtId="9" fontId="0" fillId="0" borderId="3" xfId="22" applyFont="1" applyFill="1" applyBorder="1" applyAlignment="1" applyProtection="1">
      <alignment vertical="center"/>
      <protection/>
    </xf>
    <xf numFmtId="168" fontId="0" fillId="0" borderId="3" xfId="20" applyNumberFormat="1" applyFont="1" applyFill="1" applyBorder="1" applyAlignment="1" applyProtection="1">
      <alignment vertical="center"/>
      <protection/>
    </xf>
    <xf numFmtId="169" fontId="0" fillId="11" borderId="3" xfId="0" applyNumberFormat="1" applyFill="1" applyBorder="1" applyAlignment="1" applyProtection="1">
      <alignment vertical="center"/>
      <protection/>
    </xf>
    <xf numFmtId="9" fontId="0" fillId="11" borderId="3" xfId="22" applyFont="1" applyFill="1" applyBorder="1" applyAlignment="1" applyProtection="1">
      <alignment vertical="center"/>
      <protection/>
    </xf>
    <xf numFmtId="168" fontId="0" fillId="11" borderId="3" xfId="20" applyNumberFormat="1" applyFont="1" applyFill="1" applyBorder="1" applyAlignment="1" applyProtection="1">
      <alignment vertical="center"/>
      <protection/>
    </xf>
    <xf numFmtId="0" fontId="3" fillId="0" borderId="3" xfId="0" applyFont="1" applyBorder="1" applyAlignment="1">
      <alignment horizontal="center" vertical="center"/>
    </xf>
    <xf numFmtId="0" fontId="2" fillId="3" borderId="3" xfId="0" applyFont="1" applyFill="1" applyBorder="1" applyAlignment="1">
      <alignment horizontal="center" vertical="center"/>
    </xf>
    <xf numFmtId="0" fontId="2" fillId="3" borderId="3" xfId="0" applyFont="1" applyFill="1" applyBorder="1" applyAlignment="1">
      <alignment vertical="center" wrapText="1"/>
    </xf>
    <xf numFmtId="2" fontId="2" fillId="3" borderId="3" xfId="0" applyNumberFormat="1" applyFont="1" applyFill="1" applyBorder="1" applyAlignment="1">
      <alignment vertical="center"/>
    </xf>
    <xf numFmtId="165" fontId="2" fillId="3" borderId="3" xfId="21" applyNumberFormat="1" applyFont="1" applyFill="1" applyBorder="1" applyAlignment="1" applyProtection="1">
      <alignment horizontal="right" vertical="center"/>
      <protection/>
    </xf>
    <xf numFmtId="167" fontId="2" fillId="0" borderId="3" xfId="0" applyNumberFormat="1" applyFont="1" applyBorder="1" applyAlignment="1">
      <alignment horizontal="distributed" vertical="center"/>
    </xf>
    <xf numFmtId="167" fontId="3" fillId="12" borderId="3" xfId="0" applyNumberFormat="1" applyFont="1" applyFill="1" applyBorder="1" applyAlignment="1">
      <alignment horizontal="distributed" vertical="center"/>
    </xf>
    <xf numFmtId="0" fontId="2" fillId="0" borderId="3" xfId="0" applyFont="1" applyBorder="1" applyAlignment="1">
      <alignment horizontal="center" vertical="center"/>
    </xf>
    <xf numFmtId="0" fontId="0" fillId="11" borderId="3" xfId="0" applyFill="1" applyBorder="1" applyAlignment="1" applyProtection="1">
      <alignment horizontal="center" vertical="center"/>
      <protection/>
    </xf>
    <xf numFmtId="165" fontId="2" fillId="0" borderId="0" xfId="21" applyNumberFormat="1" applyFont="1" applyBorder="1" applyAlignment="1" applyProtection="1">
      <alignment vertical="center"/>
      <protection/>
    </xf>
    <xf numFmtId="0" fontId="2" fillId="0" borderId="3" xfId="0" applyFont="1" applyFill="1" applyBorder="1" applyAlignment="1">
      <alignment horizontal="center" vertical="center"/>
    </xf>
    <xf numFmtId="0" fontId="2" fillId="0" borderId="3" xfId="0" applyFont="1" applyFill="1" applyBorder="1" applyAlignment="1">
      <alignment vertical="center" wrapText="1"/>
    </xf>
    <xf numFmtId="2" fontId="2" fillId="0" borderId="3" xfId="0" applyNumberFormat="1" applyFont="1" applyFill="1" applyBorder="1" applyAlignment="1">
      <alignment vertical="center"/>
    </xf>
    <xf numFmtId="165" fontId="2" fillId="0" borderId="3" xfId="21" applyNumberFormat="1" applyFont="1" applyFill="1" applyBorder="1" applyAlignment="1" applyProtection="1">
      <alignment horizontal="right" vertical="center"/>
      <protection/>
    </xf>
    <xf numFmtId="2" fontId="2" fillId="3" borderId="3" xfId="0" applyNumberFormat="1" applyFont="1" applyFill="1" applyBorder="1" applyAlignment="1">
      <alignment vertical="center" wrapText="1"/>
    </xf>
    <xf numFmtId="0" fontId="2" fillId="3"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2" fontId="2" fillId="0" borderId="3" xfId="0" applyNumberFormat="1" applyFont="1" applyBorder="1" applyAlignment="1">
      <alignment horizontal="center"/>
    </xf>
    <xf numFmtId="165" fontId="2" fillId="0" borderId="3" xfId="21" applyNumberFormat="1" applyFont="1" applyBorder="1" applyAlignment="1" applyProtection="1">
      <alignment horizontal="right" vertical="center"/>
      <protection/>
    </xf>
    <xf numFmtId="0" fontId="7" fillId="0" borderId="3" xfId="0" applyFont="1" applyBorder="1" applyAlignment="1">
      <alignment horizontal="center" vertical="center" wrapText="1"/>
    </xf>
    <xf numFmtId="0" fontId="2" fillId="0" borderId="3" xfId="0" applyFont="1" applyBorder="1" applyAlignment="1">
      <alignment vertical="center" wrapText="1"/>
    </xf>
    <xf numFmtId="2" fontId="2" fillId="0" borderId="3" xfId="0" applyNumberFormat="1" applyFont="1" applyBorder="1" applyAlignment="1">
      <alignment vertical="center"/>
    </xf>
    <xf numFmtId="0" fontId="6" fillId="3" borderId="3" xfId="0" applyFont="1" applyFill="1" applyBorder="1" applyAlignment="1">
      <alignment vertical="center" wrapText="1"/>
    </xf>
    <xf numFmtId="0" fontId="8" fillId="0" borderId="0" xfId="0" applyFont="1" applyAlignment="1">
      <alignment horizontal="right"/>
    </xf>
    <xf numFmtId="2" fontId="8" fillId="0" borderId="0" xfId="0" applyNumberFormat="1" applyFont="1" applyAlignment="1">
      <alignment horizontal="right"/>
    </xf>
    <xf numFmtId="2" fontId="8" fillId="0" borderId="0" xfId="0" applyNumberFormat="1" applyFont="1" applyAlignment="1">
      <alignment horizontal="left"/>
    </xf>
    <xf numFmtId="4" fontId="8" fillId="0" borderId="0" xfId="0" applyNumberFormat="1" applyFont="1" applyAlignment="1">
      <alignment horizontal="left"/>
    </xf>
    <xf numFmtId="0" fontId="8" fillId="0" borderId="0" xfId="0" applyFont="1" applyAlignment="1">
      <alignment horizontal="center"/>
    </xf>
    <xf numFmtId="4" fontId="8" fillId="0" borderId="0" xfId="0" applyNumberFormat="1" applyFont="1" applyAlignment="1">
      <alignment horizontal="right"/>
    </xf>
    <xf numFmtId="0" fontId="8" fillId="0" borderId="0" xfId="23" applyFont="1" applyFill="1" applyAlignment="1">
      <alignment horizontal="center"/>
      <protection/>
    </xf>
    <xf numFmtId="2" fontId="8" fillId="0" borderId="0" xfId="23" applyNumberFormat="1" applyFont="1" applyFill="1" applyAlignment="1">
      <alignment horizontal="left"/>
      <protection/>
    </xf>
    <xf numFmtId="0" fontId="8" fillId="0" borderId="0" xfId="23" applyFont="1" applyFill="1" applyAlignment="1">
      <alignment horizontal="right"/>
      <protection/>
    </xf>
    <xf numFmtId="2" fontId="8" fillId="0" borderId="0" xfId="23" applyNumberFormat="1" applyFont="1" applyFill="1" applyAlignment="1">
      <alignment horizontal="right"/>
      <protection/>
    </xf>
    <xf numFmtId="0" fontId="8" fillId="0" borderId="0" xfId="0" applyFont="1" applyFill="1" applyAlignment="1">
      <alignment horizontal="left"/>
    </xf>
    <xf numFmtId="0" fontId="8" fillId="0" borderId="0" xfId="0" applyFont="1" applyFill="1" applyAlignment="1">
      <alignment horizontal="right"/>
    </xf>
    <xf numFmtId="0" fontId="8" fillId="0" borderId="0" xfId="0" applyFont="1" applyFill="1" applyAlignment="1">
      <alignment horizontal="center"/>
    </xf>
    <xf numFmtId="2" fontId="8" fillId="0" borderId="0" xfId="0" applyNumberFormat="1" applyFont="1" applyFill="1" applyAlignment="1">
      <alignment horizontal="right"/>
    </xf>
    <xf numFmtId="0" fontId="23" fillId="0" borderId="1" xfId="0" applyFont="1" applyBorder="1" applyAlignment="1">
      <alignment horizontal="center" vertical="center" wrapText="1"/>
    </xf>
    <xf numFmtId="0" fontId="23" fillId="0" borderId="1" xfId="0" applyFont="1" applyBorder="1" applyAlignment="1">
      <alignment horizontal="left" vertical="center" wrapText="1"/>
    </xf>
    <xf numFmtId="0" fontId="9" fillId="0" borderId="3" xfId="0" applyFont="1" applyBorder="1" applyAlignment="1">
      <alignment horizontal="left"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2" fontId="9" fillId="0" borderId="1" xfId="0" applyNumberFormat="1" applyFont="1" applyBorder="1" applyAlignment="1">
      <alignment horizontal="center" vertical="center"/>
    </xf>
    <xf numFmtId="0" fontId="9" fillId="0" borderId="1" xfId="0" applyFont="1" applyBorder="1" applyAlignment="1">
      <alignment horizontal="center" wrapText="1"/>
    </xf>
    <xf numFmtId="0" fontId="9" fillId="0" borderId="1" xfId="0" applyFont="1" applyBorder="1" applyAlignment="1">
      <alignment horizontal="center"/>
    </xf>
    <xf numFmtId="0" fontId="9" fillId="0" borderId="1" xfId="0" applyFont="1" applyBorder="1"/>
    <xf numFmtId="2" fontId="9" fillId="0" borderId="1" xfId="0" applyNumberFormat="1" applyFont="1" applyBorder="1"/>
    <xf numFmtId="0" fontId="9" fillId="0" borderId="1" xfId="0" applyFont="1" applyBorder="1" applyAlignment="1">
      <alignment horizontal="left" wrapText="1"/>
    </xf>
    <xf numFmtId="170" fontId="0" fillId="0" borderId="3" xfId="22" applyNumberFormat="1" applyFont="1" applyFill="1" applyBorder="1" applyAlignment="1" applyProtection="1">
      <alignment vertical="center"/>
      <protection/>
    </xf>
    <xf numFmtId="170" fontId="0" fillId="0" borderId="0" xfId="0" applyNumberFormat="1"/>
    <xf numFmtId="2" fontId="3" fillId="3" borderId="3" xfId="0" applyNumberFormat="1" applyFont="1" applyFill="1" applyBorder="1" applyAlignment="1">
      <alignment horizontal="center" vertical="center" wrapText="1"/>
    </xf>
    <xf numFmtId="165" fontId="3" fillId="0" borderId="3" xfId="21" applyNumberFormat="1" applyFont="1" applyBorder="1" applyAlignment="1" applyProtection="1">
      <alignment horizontal="right" vertical="center"/>
      <protection/>
    </xf>
    <xf numFmtId="0" fontId="6" fillId="0" borderId="3" xfId="0" applyFont="1" applyBorder="1" applyAlignment="1">
      <alignment vertical="center" wrapText="1"/>
    </xf>
    <xf numFmtId="0" fontId="3" fillId="0" borderId="3" xfId="0" applyFont="1" applyFill="1" applyBorder="1" applyAlignment="1">
      <alignment horizontal="center" vertical="center"/>
    </xf>
    <xf numFmtId="167" fontId="2" fillId="0" borderId="3" xfId="0" applyNumberFormat="1" applyFont="1" applyFill="1" applyBorder="1" applyAlignment="1">
      <alignment horizontal="distributed" vertical="center"/>
    </xf>
    <xf numFmtId="0" fontId="3" fillId="3" borderId="3" xfId="0" applyFont="1" applyFill="1" applyBorder="1" applyAlignment="1">
      <alignment horizontal="center" vertical="center"/>
    </xf>
    <xf numFmtId="2" fontId="2" fillId="0" borderId="3" xfId="0" applyNumberFormat="1" applyFont="1" applyFill="1" applyBorder="1" applyAlignment="1">
      <alignment vertical="center" wrapText="1"/>
    </xf>
    <xf numFmtId="0" fontId="2" fillId="0" borderId="3" xfId="0" applyFont="1" applyFill="1" applyBorder="1" applyAlignment="1">
      <alignment horizontal="center" vertical="center" wrapText="1"/>
    </xf>
    <xf numFmtId="0" fontId="2" fillId="0" borderId="3" xfId="0" applyFont="1" applyBorder="1" applyAlignment="1">
      <alignment horizontal="center" vertical="center"/>
    </xf>
    <xf numFmtId="0" fontId="6" fillId="0" borderId="3" xfId="0" applyFont="1" applyFill="1" applyBorder="1" applyAlignment="1">
      <alignment vertical="center" wrapText="1"/>
    </xf>
    <xf numFmtId="0" fontId="6" fillId="3" borderId="3" xfId="0" applyFont="1" applyFill="1" applyBorder="1" applyAlignment="1">
      <alignment horizontal="center" vertical="center"/>
    </xf>
    <xf numFmtId="2" fontId="3" fillId="12" borderId="3" xfId="0" applyNumberFormat="1" applyFont="1" applyFill="1" applyBorder="1" applyAlignment="1">
      <alignment vertical="center"/>
    </xf>
    <xf numFmtId="165" fontId="3" fillId="12" borderId="3" xfId="21" applyNumberFormat="1" applyFont="1" applyFill="1" applyBorder="1" applyAlignment="1" applyProtection="1">
      <alignment horizontal="right" vertical="center"/>
      <protection/>
    </xf>
    <xf numFmtId="0" fontId="2" fillId="0" borderId="3" xfId="0" applyFont="1" applyBorder="1" applyAlignment="1">
      <alignment horizontal="center" vertical="center" wrapText="1"/>
    </xf>
    <xf numFmtId="0" fontId="7" fillId="0" borderId="3" xfId="0" applyFont="1" applyFill="1" applyBorder="1" applyAlignment="1">
      <alignment horizontal="center" vertical="center" wrapText="1"/>
    </xf>
    <xf numFmtId="2" fontId="6" fillId="0" borderId="3" xfId="0" applyNumberFormat="1" applyFont="1" applyBorder="1" applyAlignment="1">
      <alignment horizontal="center"/>
    </xf>
    <xf numFmtId="0" fontId="6" fillId="0" borderId="3" xfId="0" applyFont="1" applyBorder="1" applyAlignment="1">
      <alignment horizontal="center"/>
    </xf>
    <xf numFmtId="165" fontId="6" fillId="0" borderId="3" xfId="21" applyNumberFormat="1" applyFont="1" applyBorder="1" applyAlignment="1" applyProtection="1">
      <alignment horizontal="right" vertical="center"/>
      <protection/>
    </xf>
    <xf numFmtId="167" fontId="2" fillId="3" borderId="3" xfId="0" applyNumberFormat="1" applyFont="1" applyFill="1" applyBorder="1" applyAlignment="1">
      <alignment horizontal="distributed" vertical="center"/>
    </xf>
    <xf numFmtId="0" fontId="3" fillId="3" borderId="3" xfId="0" applyFont="1" applyFill="1" applyBorder="1" applyAlignment="1">
      <alignment horizontal="center" vertical="center"/>
    </xf>
    <xf numFmtId="0" fontId="6" fillId="0" borderId="3" xfId="0" applyFont="1" applyBorder="1" applyAlignment="1">
      <alignment horizontal="center" vertical="center"/>
    </xf>
    <xf numFmtId="2" fontId="2" fillId="12" borderId="3" xfId="0" applyNumberFormat="1" applyFont="1" applyFill="1" applyBorder="1" applyAlignment="1">
      <alignment vertical="center"/>
    </xf>
    <xf numFmtId="0" fontId="2" fillId="12" borderId="3" xfId="0" applyFont="1" applyFill="1" applyBorder="1" applyAlignment="1">
      <alignment horizontal="center" vertical="center"/>
    </xf>
    <xf numFmtId="165" fontId="2" fillId="12" borderId="3" xfId="21" applyNumberFormat="1" applyFont="1" applyFill="1" applyBorder="1" applyAlignment="1" applyProtection="1">
      <alignment horizontal="right" vertical="center"/>
      <protection/>
    </xf>
    <xf numFmtId="167" fontId="2" fillId="12" borderId="3" xfId="0" applyNumberFormat="1" applyFont="1" applyFill="1" applyBorder="1" applyAlignment="1">
      <alignment horizontal="distributed" vertical="center"/>
    </xf>
    <xf numFmtId="0" fontId="3" fillId="12" borderId="3" xfId="0" applyFont="1" applyFill="1" applyBorder="1" applyAlignment="1">
      <alignment vertical="center"/>
    </xf>
    <xf numFmtId="166" fontId="3" fillId="12" borderId="3" xfId="20" applyFont="1" applyFill="1" applyBorder="1" applyAlignment="1" applyProtection="1">
      <alignment horizontal="distributed" vertical="center"/>
      <protection/>
    </xf>
    <xf numFmtId="0" fontId="2" fillId="0" borderId="3" xfId="0" applyFont="1" applyBorder="1" applyAlignment="1">
      <alignment horizontal="center"/>
    </xf>
    <xf numFmtId="0" fontId="3" fillId="0" borderId="3" xfId="0" applyFont="1" applyBorder="1" applyAlignment="1">
      <alignment vertical="center" wrapText="1"/>
    </xf>
    <xf numFmtId="0" fontId="3" fillId="12" borderId="3" xfId="0" applyFont="1" applyFill="1" applyBorder="1" applyAlignment="1">
      <alignment horizontal="center" vertical="center"/>
    </xf>
    <xf numFmtId="0" fontId="3" fillId="3" borderId="3" xfId="0" applyFont="1" applyFill="1" applyBorder="1" applyAlignment="1">
      <alignment vertical="center" wrapText="1"/>
    </xf>
    <xf numFmtId="0" fontId="3" fillId="0" borderId="3" xfId="0" applyFont="1" applyBorder="1" applyAlignment="1">
      <alignment horizontal="center" vertical="center" wrapText="1"/>
    </xf>
    <xf numFmtId="0" fontId="3" fillId="0" borderId="3" xfId="0" applyFont="1" applyFill="1" applyBorder="1" applyAlignment="1">
      <alignment vertical="center" wrapText="1"/>
    </xf>
    <xf numFmtId="0" fontId="8" fillId="0" borderId="0" xfId="0" applyFont="1" applyAlignment="1">
      <alignment horizontal="left"/>
    </xf>
    <xf numFmtId="0" fontId="8" fillId="0" borderId="0" xfId="0" applyFont="1" applyAlignment="1">
      <alignment horizontal="right"/>
    </xf>
    <xf numFmtId="0" fontId="8" fillId="0" borderId="0" xfId="0" applyNumberFormat="1" applyFont="1" applyAlignment="1">
      <alignment horizontal="left"/>
    </xf>
    <xf numFmtId="0" fontId="8" fillId="0" borderId="0" xfId="0" applyNumberFormat="1" applyFont="1" applyAlignment="1">
      <alignment horizontal="right"/>
    </xf>
    <xf numFmtId="2" fontId="8" fillId="0" borderId="0" xfId="0" applyNumberFormat="1" applyFont="1" applyAlignment="1">
      <alignment horizontal="right"/>
    </xf>
    <xf numFmtId="2" fontId="8" fillId="0" borderId="0" xfId="0" applyNumberFormat="1" applyFont="1" applyAlignment="1">
      <alignment horizontal="left"/>
    </xf>
    <xf numFmtId="0" fontId="4" fillId="0" borderId="3" xfId="0" applyFont="1" applyBorder="1" applyAlignment="1">
      <alignment horizontal="center" vertical="center"/>
    </xf>
    <xf numFmtId="0" fontId="5" fillId="0" borderId="3" xfId="0" applyFont="1" applyBorder="1" applyAlignment="1">
      <alignment horizontal="center" vertical="center"/>
    </xf>
    <xf numFmtId="0" fontId="2" fillId="0" borderId="3" xfId="0" applyFont="1" applyBorder="1" applyAlignment="1">
      <alignment horizontal="center"/>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2" fillId="0" borderId="3" xfId="0" applyFont="1" applyBorder="1" applyAlignment="1">
      <alignment horizontal="left" vertical="center" wrapText="1"/>
    </xf>
    <xf numFmtId="0" fontId="3" fillId="0" borderId="3" xfId="0" applyFont="1" applyFill="1" applyBorder="1" applyAlignment="1">
      <alignment horizontal="left" vertical="center" wrapText="1"/>
    </xf>
    <xf numFmtId="0" fontId="3" fillId="3" borderId="3" xfId="0" applyFont="1" applyFill="1" applyBorder="1" applyAlignment="1">
      <alignment vertical="center" wrapText="1"/>
    </xf>
    <xf numFmtId="0" fontId="3" fillId="12" borderId="3" xfId="0" applyFont="1" applyFill="1" applyBorder="1" applyAlignment="1">
      <alignment horizontal="center" vertical="center"/>
    </xf>
    <xf numFmtId="0" fontId="3" fillId="0" borderId="3" xfId="0" applyFont="1" applyBorder="1" applyAlignment="1">
      <alignment vertical="center" wrapText="1"/>
    </xf>
    <xf numFmtId="165" fontId="2" fillId="0" borderId="0" xfId="21" applyNumberFormat="1" applyFont="1" applyBorder="1" applyAlignment="1" applyProtection="1">
      <alignment horizontal="center" vertical="center"/>
      <protection/>
    </xf>
    <xf numFmtId="0" fontId="3" fillId="13" borderId="3" xfId="0" applyFont="1" applyFill="1" applyBorder="1" applyAlignment="1">
      <alignment horizontal="center" vertical="center"/>
    </xf>
    <xf numFmtId="0" fontId="3" fillId="0" borderId="3" xfId="0" applyFont="1" applyFill="1" applyBorder="1" applyAlignment="1">
      <alignment vertical="center" wrapText="1"/>
    </xf>
    <xf numFmtId="0" fontId="16" fillId="14" borderId="32" xfId="24" applyFont="1" applyFill="1" applyBorder="1" applyAlignment="1">
      <alignment horizontal="center" vertical="justify"/>
      <protection/>
    </xf>
    <xf numFmtId="0" fontId="16" fillId="14" borderId="33" xfId="24" applyFont="1" applyFill="1" applyBorder="1" applyAlignment="1">
      <alignment horizontal="center" vertical="justify"/>
      <protection/>
    </xf>
    <xf numFmtId="0" fontId="16" fillId="14" borderId="34" xfId="24" applyFont="1" applyFill="1" applyBorder="1" applyAlignment="1">
      <alignment horizontal="center" vertical="justify"/>
      <protection/>
    </xf>
    <xf numFmtId="0" fontId="17" fillId="5" borderId="35" xfId="24" applyFont="1" applyFill="1" applyBorder="1" applyAlignment="1">
      <alignment horizontal="center"/>
      <protection/>
    </xf>
    <xf numFmtId="0" fontId="17" fillId="5" borderId="5" xfId="24" applyFont="1" applyFill="1" applyBorder="1" applyAlignment="1">
      <alignment horizontal="center"/>
      <protection/>
    </xf>
    <xf numFmtId="0" fontId="11" fillId="0" borderId="0" xfId="0" applyFont="1" applyBorder="1" applyAlignment="1">
      <alignment horizontal="center" vertical="center" wrapText="1"/>
    </xf>
    <xf numFmtId="0" fontId="17" fillId="9" borderId="36" xfId="0" applyFont="1" applyFill="1" applyBorder="1" applyAlignment="1">
      <alignment horizontal="center" vertical="center"/>
    </xf>
    <xf numFmtId="0" fontId="17" fillId="9" borderId="37" xfId="0" applyFont="1" applyFill="1" applyBorder="1" applyAlignment="1">
      <alignment horizontal="center" vertical="center"/>
    </xf>
    <xf numFmtId="0" fontId="17" fillId="9" borderId="13" xfId="0" applyFont="1" applyFill="1" applyBorder="1" applyAlignment="1">
      <alignment horizontal="center" vertical="center"/>
    </xf>
    <xf numFmtId="0" fontId="17" fillId="9" borderId="19" xfId="0" applyFont="1" applyFill="1" applyBorder="1" applyAlignment="1">
      <alignment horizontal="center" vertical="center"/>
    </xf>
    <xf numFmtId="0" fontId="21" fillId="0" borderId="0" xfId="0" applyFont="1" applyBorder="1" applyAlignment="1">
      <alignment horizontal="left" vertical="center"/>
    </xf>
    <xf numFmtId="0" fontId="14" fillId="8" borderId="31" xfId="0" applyFont="1" applyFill="1" applyBorder="1" applyAlignment="1">
      <alignment horizontal="center" vertical="center"/>
    </xf>
    <xf numFmtId="0" fontId="14" fillId="8" borderId="11" xfId="0" applyFont="1" applyFill="1" applyBorder="1" applyAlignment="1">
      <alignment horizontal="center" vertical="center"/>
    </xf>
    <xf numFmtId="0" fontId="14" fillId="8" borderId="38" xfId="0" applyFont="1" applyFill="1" applyBorder="1" applyAlignment="1">
      <alignment horizontal="center" vertical="center"/>
    </xf>
    <xf numFmtId="0" fontId="14" fillId="8" borderId="27" xfId="0" applyFont="1" applyFill="1" applyBorder="1" applyAlignment="1">
      <alignment horizontal="center" vertical="center"/>
    </xf>
    <xf numFmtId="0" fontId="14" fillId="8" borderId="39" xfId="0" applyFont="1" applyFill="1" applyBorder="1" applyAlignment="1">
      <alignment horizontal="center"/>
    </xf>
    <xf numFmtId="0" fontId="14" fillId="8" borderId="25" xfId="0" applyFont="1" applyFill="1" applyBorder="1" applyAlignment="1">
      <alignment horizontal="center"/>
    </xf>
    <xf numFmtId="0" fontId="0" fillId="0" borderId="39" xfId="0" applyBorder="1" applyAlignment="1">
      <alignment horizontal="left"/>
    </xf>
    <xf numFmtId="0" fontId="0" fillId="0" borderId="9" xfId="0" applyBorder="1" applyAlignment="1">
      <alignment horizontal="left"/>
    </xf>
    <xf numFmtId="0" fontId="0" fillId="0" borderId="31"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40" xfId="0" applyBorder="1" applyAlignment="1">
      <alignment vertical="top" wrapText="1"/>
    </xf>
    <xf numFmtId="0" fontId="0" fillId="0" borderId="0" xfId="0" applyBorder="1" applyAlignment="1">
      <alignment vertical="top" wrapText="1"/>
    </xf>
    <xf numFmtId="0" fontId="0" fillId="0" borderId="21" xfId="0" applyBorder="1" applyAlignment="1">
      <alignment vertical="top" wrapText="1"/>
    </xf>
    <xf numFmtId="0" fontId="0" fillId="0" borderId="38"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20" fillId="0" borderId="0" xfId="0" applyFont="1" applyAlignment="1">
      <alignment horizontal="center" vertical="center"/>
    </xf>
    <xf numFmtId="0" fontId="0" fillId="0" borderId="0" xfId="0" applyFont="1" applyBorder="1" applyAlignment="1">
      <alignment vertical="center"/>
    </xf>
    <xf numFmtId="0" fontId="14" fillId="8" borderId="9" xfId="0" applyFont="1" applyFill="1" applyBorder="1" applyAlignment="1">
      <alignment horizontal="center"/>
    </xf>
    <xf numFmtId="0" fontId="0" fillId="7" borderId="39" xfId="0" applyFill="1" applyBorder="1" applyAlignment="1">
      <alignment horizontal="left" vertical="top" wrapText="1"/>
    </xf>
    <xf numFmtId="0" fontId="0" fillId="7" borderId="9" xfId="0" applyFill="1" applyBorder="1" applyAlignment="1">
      <alignment horizontal="left" vertical="top" wrapText="1"/>
    </xf>
    <xf numFmtId="0" fontId="19" fillId="8" borderId="31" xfId="24" applyFont="1" applyFill="1" applyBorder="1" applyAlignment="1">
      <alignment horizontal="center" vertical="center" wrapText="1"/>
      <protection/>
    </xf>
    <xf numFmtId="0" fontId="19" fillId="8" borderId="10" xfId="24" applyFont="1" applyFill="1" applyBorder="1" applyAlignment="1">
      <alignment horizontal="center" vertical="center" wrapText="1"/>
      <protection/>
    </xf>
    <xf numFmtId="0" fontId="19" fillId="8" borderId="11" xfId="24" applyFont="1" applyFill="1" applyBorder="1" applyAlignment="1">
      <alignment horizontal="center" vertical="center" wrapText="1"/>
      <protection/>
    </xf>
    <xf numFmtId="0" fontId="19" fillId="8" borderId="40" xfId="24" applyFont="1" applyFill="1" applyBorder="1" applyAlignment="1">
      <alignment horizontal="center" vertical="center" wrapText="1"/>
      <protection/>
    </xf>
    <xf numFmtId="0" fontId="19" fillId="8" borderId="0" xfId="24" applyFont="1" applyFill="1" applyBorder="1" applyAlignment="1">
      <alignment horizontal="center" vertical="center" wrapText="1"/>
      <protection/>
    </xf>
    <xf numFmtId="0" fontId="19" fillId="8" borderId="21" xfId="24" applyFont="1" applyFill="1" applyBorder="1" applyAlignment="1">
      <alignment horizontal="center" vertical="center" wrapText="1"/>
      <protection/>
    </xf>
    <xf numFmtId="0" fontId="19" fillId="8" borderId="38" xfId="24" applyFont="1" applyFill="1" applyBorder="1" applyAlignment="1">
      <alignment horizontal="center" vertical="center" wrapText="1"/>
      <protection/>
    </xf>
    <xf numFmtId="0" fontId="19" fillId="8" borderId="26" xfId="24" applyFont="1" applyFill="1" applyBorder="1" applyAlignment="1">
      <alignment horizontal="center" vertical="center" wrapText="1"/>
      <protection/>
    </xf>
    <xf numFmtId="0" fontId="19" fillId="8" borderId="27" xfId="24" applyFont="1" applyFill="1" applyBorder="1" applyAlignment="1">
      <alignment horizontal="center" vertical="center" wrapText="1"/>
      <protection/>
    </xf>
    <xf numFmtId="0" fontId="14" fillId="8" borderId="16" xfId="0" applyFont="1" applyFill="1" applyBorder="1" applyAlignment="1">
      <alignment horizontal="center" vertical="center"/>
    </xf>
    <xf numFmtId="0" fontId="14" fillId="8" borderId="41" xfId="0" applyFont="1" applyFill="1" applyBorder="1" applyAlignment="1">
      <alignment horizontal="center" vertical="center"/>
    </xf>
    <xf numFmtId="0" fontId="14" fillId="8" borderId="39" xfId="0" applyFont="1" applyFill="1" applyBorder="1" applyAlignment="1">
      <alignment horizontal="center"/>
    </xf>
    <xf numFmtId="0" fontId="14" fillId="8" borderId="25" xfId="0" applyFont="1" applyFill="1" applyBorder="1" applyAlignment="1">
      <alignment horizontal="center"/>
    </xf>
    <xf numFmtId="0" fontId="14" fillId="8" borderId="9" xfId="0" applyFont="1" applyFill="1" applyBorder="1" applyAlignment="1">
      <alignment horizontal="center"/>
    </xf>
    <xf numFmtId="9" fontId="0" fillId="11" borderId="3" xfId="22" applyFont="1" applyFill="1" applyBorder="1" applyAlignment="1" applyProtection="1">
      <alignment horizontal="center" vertical="center"/>
      <protection/>
    </xf>
    <xf numFmtId="43" fontId="2" fillId="0" borderId="0" xfId="0" applyNumberFormat="1" applyFont="1" applyAlignment="1">
      <alignment vertical="center"/>
    </xf>
  </cellXfs>
  <cellStyles count="12">
    <cellStyle name="Normal" xfId="0"/>
    <cellStyle name="Percent" xfId="15"/>
    <cellStyle name="Currency" xfId="16"/>
    <cellStyle name="Currency [0]" xfId="17"/>
    <cellStyle name="Comma" xfId="18"/>
    <cellStyle name="Comma [0]" xfId="19"/>
    <cellStyle name="Separador de milhares" xfId="20"/>
    <cellStyle name="Moeda" xfId="21"/>
    <cellStyle name="Porcentagem" xfId="22"/>
    <cellStyle name="Texto Explicativo" xfId="23"/>
    <cellStyle name="Normal 2 3" xfId="24"/>
    <cellStyle name="Porcentagem 2 4" xfId="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DDDDD"/>
      <rgbColor rgb="00660066"/>
      <rgbColor rgb="00FF8080"/>
      <rgbColor rgb="000066CC"/>
      <rgbColor rgb="00B9CDE5"/>
      <rgbColor rgb="00000080"/>
      <rgbColor rgb="00FF00FF"/>
      <rgbColor rgb="00FFFF00"/>
      <rgbColor rgb="0000FFFF"/>
      <rgbColor rgb="00800080"/>
      <rgbColor rgb="00C00000"/>
      <rgbColor rgb="00008080"/>
      <rgbColor rgb="000000FF"/>
      <rgbColor rgb="0000B0F0"/>
      <rgbColor rgb="00D9D9D9"/>
      <rgbColor rgb="00EBF1DE"/>
      <rgbColor rgb="00C3D69B"/>
      <rgbColor rgb="00BFBFBF"/>
      <rgbColor rgb="00CCC1DA"/>
      <rgbColor rgb="00B3A2C7"/>
      <rgbColor rgb="00FFCC99"/>
      <rgbColor rgb="003366FF"/>
      <rgbColor rgb="0033CCCC"/>
      <rgbColor rgb="0092D050"/>
      <rgbColor rgb="00FFCC00"/>
      <rgbColor rgb="00FF9900"/>
      <rgbColor rgb="00FF6600"/>
      <rgbColor rgb="00666699"/>
      <rgbColor rgb="00969696"/>
      <rgbColor rgb="00003366"/>
      <rgbColor rgb="0000B050"/>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0</xdr:colOff>
      <xdr:row>3</xdr:row>
      <xdr:rowOff>161925</xdr:rowOff>
    </xdr:to>
    <xdr:pic>
      <xdr:nvPicPr>
        <xdr:cNvPr id="1026" name="Picture 2"/>
        <xdr:cNvPicPr preferRelativeResize="1">
          <a:picLocks noChangeAspect="1"/>
        </xdr:cNvPicPr>
      </xdr:nvPicPr>
      <xdr:blipFill>
        <a:blip r:embed="rId1"/>
        <a:stretch>
          <a:fillRect/>
        </a:stretch>
      </xdr:blipFill>
      <xdr:spPr bwMode="auto">
        <a:xfrm>
          <a:off x="0" y="0"/>
          <a:ext cx="17192625" cy="2457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39</xdr:row>
      <xdr:rowOff>0</xdr:rowOff>
    </xdr:from>
    <xdr:ext cx="3162300" cy="581025"/>
    <xdr:pic>
      <xdr:nvPicPr>
        <xdr:cNvPr id="2" name="Imagem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09600" y="8058150"/>
          <a:ext cx="3162300" cy="581025"/>
        </a:xfrm>
        <a:prstGeom prst="rect">
          <a:avLst/>
        </a:prstGeom>
        <a:ln>
          <a:noFill/>
        </a:ln>
      </xdr:spPr>
    </xdr:pic>
    <xdr:clientData/>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Z207"/>
  <sheetViews>
    <sheetView tabSelected="1" view="pageBreakPreview" zoomScale="60" workbookViewId="0" topLeftCell="A1">
      <pane ySplit="11" topLeftCell="A186" activePane="bottomLeft" state="frozen"/>
      <selection pane="bottomLeft" activeCell="H203" sqref="H203"/>
    </sheetView>
  </sheetViews>
  <sheetFormatPr defaultColWidth="9.140625" defaultRowHeight="15"/>
  <cols>
    <col min="1" max="1" width="8.00390625" style="1" customWidth="1"/>
    <col min="2" max="2" width="23.00390625" style="1" customWidth="1"/>
    <col min="3" max="3" width="129.140625" style="2" customWidth="1"/>
    <col min="4" max="4" width="22.00390625" style="3" customWidth="1"/>
    <col min="5" max="5" width="8.57421875" style="4" customWidth="1"/>
    <col min="6" max="6" width="19.8515625" style="5" bestFit="1" customWidth="1"/>
    <col min="7" max="7" width="24.8515625" style="6" bestFit="1" customWidth="1"/>
    <col min="8" max="8" width="22.421875" style="6" customWidth="1"/>
    <col min="9" max="1025" width="9.140625" style="2" customWidth="1"/>
  </cols>
  <sheetData>
    <row r="1" spans="1:8" ht="18.75" customHeight="1">
      <c r="A1" s="236"/>
      <c r="B1" s="236"/>
      <c r="C1" s="236"/>
      <c r="D1" s="236"/>
      <c r="E1" s="236"/>
      <c r="F1" s="236"/>
      <c r="G1" s="236"/>
      <c r="H1" s="236"/>
    </row>
    <row r="2" spans="1:8" ht="18.75" customHeight="1">
      <c r="A2" s="236"/>
      <c r="B2" s="236"/>
      <c r="C2" s="236"/>
      <c r="D2" s="236"/>
      <c r="E2" s="236"/>
      <c r="F2" s="236"/>
      <c r="G2" s="236"/>
      <c r="H2" s="236"/>
    </row>
    <row r="3" spans="1:8" ht="143.25" customHeight="1">
      <c r="A3" s="236"/>
      <c r="B3" s="236"/>
      <c r="C3" s="236"/>
      <c r="D3" s="236"/>
      <c r="E3" s="236"/>
      <c r="F3" s="236"/>
      <c r="G3" s="236"/>
      <c r="H3" s="236"/>
    </row>
    <row r="4" spans="1:8" ht="20.25" customHeight="1">
      <c r="A4" s="237" t="s">
        <v>0</v>
      </c>
      <c r="B4" s="237"/>
      <c r="C4" s="237"/>
      <c r="D4" s="237"/>
      <c r="E4" s="237"/>
      <c r="F4" s="237"/>
      <c r="G4" s="237"/>
      <c r="H4" s="237"/>
    </row>
    <row r="5" spans="1:8" ht="11.25" customHeight="1">
      <c r="A5" s="237"/>
      <c r="B5" s="237"/>
      <c r="C5" s="237"/>
      <c r="D5" s="237"/>
      <c r="E5" s="237"/>
      <c r="F5" s="237"/>
      <c r="G5" s="237"/>
      <c r="H5" s="237"/>
    </row>
    <row r="6" spans="1:8" ht="18.75" customHeight="1">
      <c r="A6" s="238"/>
      <c r="B6" s="239" t="s">
        <v>639</v>
      </c>
      <c r="C6" s="239"/>
      <c r="D6" s="239"/>
      <c r="E6" s="239"/>
      <c r="F6" s="240"/>
      <c r="G6" s="240"/>
      <c r="H6" s="240"/>
    </row>
    <row r="7" spans="1:8" ht="18.75" customHeight="1">
      <c r="A7" s="238"/>
      <c r="B7" s="241" t="s">
        <v>1</v>
      </c>
      <c r="C7" s="241"/>
      <c r="D7" s="241"/>
      <c r="E7" s="241"/>
      <c r="F7" s="240"/>
      <c r="G7" s="240"/>
      <c r="H7" s="240"/>
    </row>
    <row r="8" spans="1:8" ht="15">
      <c r="A8" s="238"/>
      <c r="B8" s="241" t="s">
        <v>640</v>
      </c>
      <c r="C8" s="241"/>
      <c r="D8" s="241"/>
      <c r="E8" s="241"/>
      <c r="F8" s="240"/>
      <c r="G8" s="240"/>
      <c r="H8" s="240"/>
    </row>
    <row r="9" spans="1:8" ht="15">
      <c r="A9" s="238"/>
      <c r="B9" s="241" t="s">
        <v>319</v>
      </c>
      <c r="C9" s="241"/>
      <c r="D9" s="241"/>
      <c r="E9" s="241"/>
      <c r="F9" s="240"/>
      <c r="G9" s="240"/>
      <c r="H9" s="240"/>
    </row>
    <row r="10" spans="1:8" s="6" customFormat="1" ht="15">
      <c r="A10" s="247" t="s">
        <v>0</v>
      </c>
      <c r="B10" s="247"/>
      <c r="C10" s="247"/>
      <c r="D10" s="247"/>
      <c r="E10" s="247"/>
      <c r="F10" s="247"/>
      <c r="G10" s="247"/>
      <c r="H10" s="247"/>
    </row>
    <row r="11" spans="1:8" s="7" customFormat="1" ht="37.5">
      <c r="A11" s="147" t="s">
        <v>2</v>
      </c>
      <c r="B11" s="147" t="s">
        <v>3</v>
      </c>
      <c r="C11" s="147" t="s">
        <v>4</v>
      </c>
      <c r="D11" s="197" t="s">
        <v>5</v>
      </c>
      <c r="E11" s="147" t="s">
        <v>6</v>
      </c>
      <c r="F11" s="198" t="s">
        <v>7</v>
      </c>
      <c r="G11" s="228" t="s">
        <v>8</v>
      </c>
      <c r="H11" s="228" t="s">
        <v>9</v>
      </c>
    </row>
    <row r="12" spans="1:8" s="7" customFormat="1" ht="15">
      <c r="A12" s="147">
        <v>1</v>
      </c>
      <c r="B12" s="147"/>
      <c r="C12" s="225" t="s">
        <v>10</v>
      </c>
      <c r="D12" s="225"/>
      <c r="E12" s="225"/>
      <c r="F12" s="225"/>
      <c r="G12" s="225"/>
      <c r="H12" s="225"/>
    </row>
    <row r="13" spans="1:8" s="9" customFormat="1" ht="15">
      <c r="A13" s="154" t="s">
        <v>11</v>
      </c>
      <c r="B13" s="154">
        <v>98459</v>
      </c>
      <c r="C13" s="199" t="s">
        <v>405</v>
      </c>
      <c r="D13" s="168">
        <f>3.6*3.5</f>
        <v>12.6</v>
      </c>
      <c r="E13" s="154" t="s">
        <v>13</v>
      </c>
      <c r="F13" s="165">
        <v>93.97</v>
      </c>
      <c r="G13" s="152">
        <f>F13*1.2771</f>
        <v>120.009087</v>
      </c>
      <c r="H13" s="152">
        <f>D13*G13</f>
        <v>1512.1144961999998</v>
      </c>
    </row>
    <row r="14" spans="1:8" s="7" customFormat="1" ht="15">
      <c r="A14" s="244" t="s">
        <v>16</v>
      </c>
      <c r="B14" s="244"/>
      <c r="C14" s="244"/>
      <c r="D14" s="244"/>
      <c r="E14" s="244"/>
      <c r="F14" s="244"/>
      <c r="G14" s="244"/>
      <c r="H14" s="153">
        <f>SUM(H13:H13)</f>
        <v>1512.1144961999998</v>
      </c>
    </row>
    <row r="15" spans="1:8" s="7" customFormat="1" ht="15">
      <c r="A15" s="200">
        <v>2</v>
      </c>
      <c r="B15" s="200"/>
      <c r="C15" s="229" t="s">
        <v>17</v>
      </c>
      <c r="D15" s="229"/>
      <c r="E15" s="229"/>
      <c r="F15" s="229"/>
      <c r="G15" s="229"/>
      <c r="H15" s="229"/>
    </row>
    <row r="16" spans="1:8" s="9" customFormat="1" ht="37.5">
      <c r="A16" s="157" t="s">
        <v>18</v>
      </c>
      <c r="B16" s="157">
        <v>97624</v>
      </c>
      <c r="C16" s="158" t="s">
        <v>406</v>
      </c>
      <c r="D16" s="159">
        <f>5.28*3.5+0.87*2.15+2*0.87*2.15+3*3.5+2*3.5+1.65*2.15+3.15*3.5+1.9*3.5</f>
        <v>62.81399999999999</v>
      </c>
      <c r="E16" s="157" t="s">
        <v>19</v>
      </c>
      <c r="F16" s="160">
        <v>91.98</v>
      </c>
      <c r="G16" s="201">
        <f aca="true" t="shared" si="0" ref="G16:G17">F16*1.2771</f>
        <v>117.467658</v>
      </c>
      <c r="H16" s="201">
        <f>D16*G16</f>
        <v>7378.613469611999</v>
      </c>
    </row>
    <row r="17" spans="1:8" s="9" customFormat="1" ht="37.5">
      <c r="A17" s="157" t="s">
        <v>20</v>
      </c>
      <c r="B17" s="157" t="s">
        <v>407</v>
      </c>
      <c r="C17" s="158" t="s">
        <v>408</v>
      </c>
      <c r="D17" s="159">
        <f>3.22+4.4+9.06+3.6+6.6</f>
        <v>26.880000000000003</v>
      </c>
      <c r="E17" s="157" t="s">
        <v>13</v>
      </c>
      <c r="F17" s="160">
        <v>11.22</v>
      </c>
      <c r="G17" s="201">
        <f t="shared" si="0"/>
        <v>14.329062</v>
      </c>
      <c r="H17" s="201">
        <f>D17*G17</f>
        <v>385.16518656000005</v>
      </c>
    </row>
    <row r="18" spans="1:8" s="9" customFormat="1" ht="15">
      <c r="A18" s="157" t="s">
        <v>21</v>
      </c>
      <c r="B18" s="157">
        <v>97633</v>
      </c>
      <c r="C18" s="158" t="s">
        <v>409</v>
      </c>
      <c r="D18" s="159">
        <f>12.04*3+8.4*3+7.4*3+8.36*3+2.9*3+1+1</f>
        <v>119.30000000000001</v>
      </c>
      <c r="E18" s="157" t="s">
        <v>13</v>
      </c>
      <c r="F18" s="160">
        <v>19.34</v>
      </c>
      <c r="G18" s="201">
        <f aca="true" t="shared" si="1" ref="G18:G28">F18*1.2771</f>
        <v>24.699113999999998</v>
      </c>
      <c r="H18" s="201">
        <f aca="true" t="shared" si="2" ref="H18:H28">D18*G18</f>
        <v>2946.6043002</v>
      </c>
    </row>
    <row r="19" spans="1:8" s="9" customFormat="1" ht="15">
      <c r="A19" s="157" t="s">
        <v>22</v>
      </c>
      <c r="B19" s="157">
        <v>97629</v>
      </c>
      <c r="C19" s="158" t="s">
        <v>410</v>
      </c>
      <c r="D19" s="159">
        <f>5*0.1</f>
        <v>0.5</v>
      </c>
      <c r="E19" s="157" t="s">
        <v>19</v>
      </c>
      <c r="F19" s="160">
        <v>122.13</v>
      </c>
      <c r="G19" s="201">
        <f t="shared" si="1"/>
        <v>155.97222299999999</v>
      </c>
      <c r="H19" s="201">
        <f t="shared" si="2"/>
        <v>77.98611149999999</v>
      </c>
    </row>
    <row r="20" spans="1:8" s="9" customFormat="1" ht="15">
      <c r="A20" s="157" t="s">
        <v>391</v>
      </c>
      <c r="B20" s="157">
        <v>97641</v>
      </c>
      <c r="C20" s="158" t="s">
        <v>411</v>
      </c>
      <c r="D20" s="159">
        <v>308</v>
      </c>
      <c r="E20" s="157" t="s">
        <v>13</v>
      </c>
      <c r="F20" s="160">
        <v>4.24</v>
      </c>
      <c r="G20" s="201">
        <f t="shared" si="1"/>
        <v>5.414904</v>
      </c>
      <c r="H20" s="201">
        <f t="shared" si="2"/>
        <v>1667.790432</v>
      </c>
    </row>
    <row r="21" spans="1:8" s="9" customFormat="1" ht="37.5">
      <c r="A21" s="157" t="s">
        <v>392</v>
      </c>
      <c r="B21" s="157" t="s">
        <v>653</v>
      </c>
      <c r="C21" s="158" t="s">
        <v>654</v>
      </c>
      <c r="D21" s="159">
        <v>261.5</v>
      </c>
      <c r="E21" s="157" t="s">
        <v>13</v>
      </c>
      <c r="F21" s="160">
        <v>20.85</v>
      </c>
      <c r="G21" s="201">
        <f t="shared" si="1"/>
        <v>26.627534999999998</v>
      </c>
      <c r="H21" s="201">
        <f t="shared" si="2"/>
        <v>6963.100402499999</v>
      </c>
    </row>
    <row r="22" spans="1:8" s="9" customFormat="1" ht="15">
      <c r="A22" s="157" t="s">
        <v>393</v>
      </c>
      <c r="B22" s="157">
        <v>97644</v>
      </c>
      <c r="C22" s="158" t="s">
        <v>412</v>
      </c>
      <c r="D22" s="159">
        <f>0.8*2.1+0.8*2.1+1.66*2.1+1.66*2.1+1.66*2.1+0.8*2.1+1.66*2.1+0.8*2.1+0.8*2.1+1.66*2.1+1.66*2.1+0.8*2.1+1.6*2.1</f>
        <v>34.356</v>
      </c>
      <c r="E22" s="157" t="s">
        <v>13</v>
      </c>
      <c r="F22" s="160">
        <v>7.85</v>
      </c>
      <c r="G22" s="201">
        <f t="shared" si="1"/>
        <v>10.025234999999999</v>
      </c>
      <c r="H22" s="201">
        <f t="shared" si="2"/>
        <v>344.42697366</v>
      </c>
    </row>
    <row r="23" spans="1:8" s="9" customFormat="1" ht="37.5">
      <c r="A23" s="157" t="s">
        <v>655</v>
      </c>
      <c r="B23" s="157">
        <v>97660</v>
      </c>
      <c r="C23" s="158" t="s">
        <v>413</v>
      </c>
      <c r="D23" s="159">
        <v>53</v>
      </c>
      <c r="E23" s="157" t="s">
        <v>44</v>
      </c>
      <c r="F23" s="160">
        <v>0.57</v>
      </c>
      <c r="G23" s="201">
        <f t="shared" si="1"/>
        <v>0.7279469999999999</v>
      </c>
      <c r="H23" s="201">
        <f t="shared" si="2"/>
        <v>38.581191</v>
      </c>
    </row>
    <row r="24" spans="1:8" s="9" customFormat="1" ht="15">
      <c r="A24" s="157" t="s">
        <v>394</v>
      </c>
      <c r="B24" s="157">
        <v>97661</v>
      </c>
      <c r="C24" s="158" t="s">
        <v>414</v>
      </c>
      <c r="D24" s="159">
        <v>650</v>
      </c>
      <c r="E24" s="157" t="s">
        <v>33</v>
      </c>
      <c r="F24" s="160">
        <v>0.57</v>
      </c>
      <c r="G24" s="201">
        <f t="shared" si="1"/>
        <v>0.7279469999999999</v>
      </c>
      <c r="H24" s="201">
        <f t="shared" si="2"/>
        <v>473.16554999999994</v>
      </c>
    </row>
    <row r="25" spans="1:8" s="9" customFormat="1" ht="37.5">
      <c r="A25" s="157" t="s">
        <v>395</v>
      </c>
      <c r="B25" s="157">
        <v>97662</v>
      </c>
      <c r="C25" s="158" t="s">
        <v>415</v>
      </c>
      <c r="D25" s="159">
        <v>20</v>
      </c>
      <c r="E25" s="157" t="s">
        <v>33</v>
      </c>
      <c r="F25" s="160">
        <v>0.41</v>
      </c>
      <c r="G25" s="201">
        <f t="shared" si="1"/>
        <v>0.5236109999999999</v>
      </c>
      <c r="H25" s="201">
        <f t="shared" si="2"/>
        <v>10.472219999999998</v>
      </c>
    </row>
    <row r="26" spans="1:8" s="9" customFormat="1" ht="15">
      <c r="A26" s="157" t="s">
        <v>396</v>
      </c>
      <c r="B26" s="157">
        <v>97663</v>
      </c>
      <c r="C26" s="158" t="s">
        <v>416</v>
      </c>
      <c r="D26" s="159">
        <v>10</v>
      </c>
      <c r="E26" s="157" t="s">
        <v>44</v>
      </c>
      <c r="F26" s="160">
        <v>10.41</v>
      </c>
      <c r="G26" s="201">
        <f t="shared" si="1"/>
        <v>13.294611</v>
      </c>
      <c r="H26" s="201">
        <f t="shared" si="2"/>
        <v>132.94611</v>
      </c>
    </row>
    <row r="27" spans="1:8" s="9" customFormat="1" ht="37.5">
      <c r="A27" s="157" t="s">
        <v>397</v>
      </c>
      <c r="B27" s="157">
        <v>100198</v>
      </c>
      <c r="C27" s="158" t="s">
        <v>417</v>
      </c>
      <c r="D27" s="159">
        <f>(D16*1200+D17*0.02*1200+D18*0.02*1200+D19*1600+D20*0.03*1200)*0.1</f>
        <v>9077.311999999998</v>
      </c>
      <c r="E27" s="157" t="s">
        <v>573</v>
      </c>
      <c r="F27" s="160">
        <v>0.24</v>
      </c>
      <c r="G27" s="201">
        <f t="shared" si="1"/>
        <v>0.30650399999999994</v>
      </c>
      <c r="H27" s="201">
        <f t="shared" si="2"/>
        <v>2782.232437247999</v>
      </c>
    </row>
    <row r="28" spans="1:8" s="9" customFormat="1" ht="15">
      <c r="A28" s="157" t="s">
        <v>398</v>
      </c>
      <c r="B28" s="157" t="s">
        <v>418</v>
      </c>
      <c r="C28" s="158" t="s">
        <v>419</v>
      </c>
      <c r="D28" s="159">
        <f>(D16+D17*0.02+D18*0.02+D19+D20*0.03)</f>
        <v>75.47759999999998</v>
      </c>
      <c r="E28" s="157" t="s">
        <v>19</v>
      </c>
      <c r="F28" s="160">
        <f>250/5</f>
        <v>50</v>
      </c>
      <c r="G28" s="201">
        <f t="shared" si="1"/>
        <v>63.855</v>
      </c>
      <c r="H28" s="201">
        <f t="shared" si="2"/>
        <v>4819.622147999999</v>
      </c>
    </row>
    <row r="29" spans="1:8" s="7" customFormat="1" ht="15">
      <c r="A29" s="244" t="s">
        <v>16</v>
      </c>
      <c r="B29" s="244"/>
      <c r="C29" s="244"/>
      <c r="D29" s="244"/>
      <c r="E29" s="244"/>
      <c r="F29" s="244"/>
      <c r="G29" s="244"/>
      <c r="H29" s="153">
        <f>SUM(H16:H28)</f>
        <v>28020.70653228</v>
      </c>
    </row>
    <row r="30" spans="1:8" s="11" customFormat="1" ht="15">
      <c r="A30" s="202">
        <v>3</v>
      </c>
      <c r="B30" s="202"/>
      <c r="C30" s="245" t="s">
        <v>425</v>
      </c>
      <c r="D30" s="245"/>
      <c r="E30" s="245"/>
      <c r="F30" s="245"/>
      <c r="G30" s="245"/>
      <c r="H30" s="245"/>
    </row>
    <row r="31" spans="1:8" s="8" customFormat="1" ht="37.5">
      <c r="A31" s="157" t="s">
        <v>23</v>
      </c>
      <c r="B31" s="157" t="s">
        <v>24</v>
      </c>
      <c r="C31" s="158" t="s">
        <v>420</v>
      </c>
      <c r="D31" s="203">
        <f>((2.1+2.08+4.85+2.08+1.95+3.9+1.95)*3.5+2*2.8*9+1.6*2.1*2)*1.1</f>
        <v>135.63549999999998</v>
      </c>
      <c r="E31" s="204" t="s">
        <v>13</v>
      </c>
      <c r="F31" s="160">
        <v>126.69</v>
      </c>
      <c r="G31" s="152">
        <f aca="true" t="shared" si="3" ref="G31">F31*1.2771</f>
        <v>161.795799</v>
      </c>
      <c r="H31" s="152">
        <f>D31*G31</f>
        <v>21945.254095264496</v>
      </c>
    </row>
    <row r="32" spans="1:8" s="8" customFormat="1" ht="37.5">
      <c r="A32" s="157" t="s">
        <v>25</v>
      </c>
      <c r="B32" s="157" t="s">
        <v>644</v>
      </c>
      <c r="C32" s="158" t="s">
        <v>645</v>
      </c>
      <c r="D32" s="203">
        <f>(2.45*3.5+1.6*2.1+0.86*2.1+0.87*2.1+0.74*2.1)*1.1</f>
        <v>18.834200000000006</v>
      </c>
      <c r="E32" s="204" t="s">
        <v>13</v>
      </c>
      <c r="F32" s="160">
        <v>207.65</v>
      </c>
      <c r="G32" s="152">
        <f aca="true" t="shared" si="4" ref="G32:G33">F32*1.2771</f>
        <v>265.189815</v>
      </c>
      <c r="H32" s="152">
        <f>D32*G32</f>
        <v>4994.638013673002</v>
      </c>
    </row>
    <row r="33" spans="1:8" s="8" customFormat="1" ht="46.5" customHeight="1">
      <c r="A33" s="157" t="s">
        <v>27</v>
      </c>
      <c r="B33" s="157" t="s">
        <v>649</v>
      </c>
      <c r="C33" s="158" t="s">
        <v>650</v>
      </c>
      <c r="D33" s="203">
        <f>17.02*2.8*1.1</f>
        <v>52.421600000000005</v>
      </c>
      <c r="E33" s="204" t="s">
        <v>13</v>
      </c>
      <c r="F33" s="160">
        <v>86.86</v>
      </c>
      <c r="G33" s="152">
        <f t="shared" si="4"/>
        <v>110.928906</v>
      </c>
      <c r="H33" s="152">
        <f>D33*G33</f>
        <v>5815.0707387696</v>
      </c>
    </row>
    <row r="34" spans="1:8" s="8" customFormat="1" ht="15">
      <c r="A34" s="157" t="s">
        <v>29</v>
      </c>
      <c r="B34" s="148">
        <v>93183</v>
      </c>
      <c r="C34" s="149" t="s">
        <v>422</v>
      </c>
      <c r="D34" s="161">
        <v>12.2</v>
      </c>
      <c r="E34" s="162" t="s">
        <v>33</v>
      </c>
      <c r="F34" s="151">
        <v>47.84</v>
      </c>
      <c r="G34" s="152">
        <f aca="true" t="shared" si="5" ref="G34:G35">F34*1.2771</f>
        <v>61.096464</v>
      </c>
      <c r="H34" s="152">
        <f aca="true" t="shared" si="6" ref="H34:H35">D34*G34</f>
        <v>745.3768607999999</v>
      </c>
    </row>
    <row r="35" spans="1:8" s="8" customFormat="1" ht="37.5">
      <c r="A35" s="157" t="s">
        <v>651</v>
      </c>
      <c r="B35" s="148" t="s">
        <v>423</v>
      </c>
      <c r="C35" s="149" t="s">
        <v>424</v>
      </c>
      <c r="D35" s="161">
        <v>16.779</v>
      </c>
      <c r="E35" s="162" t="s">
        <v>13</v>
      </c>
      <c r="F35" s="151">
        <v>76.83</v>
      </c>
      <c r="G35" s="152">
        <f t="shared" si="5"/>
        <v>98.119593</v>
      </c>
      <c r="H35" s="152">
        <f t="shared" si="6"/>
        <v>1646.348650947</v>
      </c>
    </row>
    <row r="36" spans="1:8" s="8" customFormat="1" ht="37.5">
      <c r="A36" s="157" t="s">
        <v>652</v>
      </c>
      <c r="B36" s="148" t="s">
        <v>641</v>
      </c>
      <c r="C36" s="149" t="s">
        <v>642</v>
      </c>
      <c r="D36" s="161">
        <f>1.8*0.9*5</f>
        <v>8.100000000000001</v>
      </c>
      <c r="E36" s="162" t="s">
        <v>13</v>
      </c>
      <c r="F36" s="151">
        <v>555.45</v>
      </c>
      <c r="G36" s="152">
        <f aca="true" t="shared" si="7" ref="G36">F36*1.2771</f>
        <v>709.365195</v>
      </c>
      <c r="H36" s="152">
        <f aca="true" t="shared" si="8" ref="H36">D36*G36</f>
        <v>5745.858079500001</v>
      </c>
    </row>
    <row r="37" spans="1:8" s="7" customFormat="1" ht="15">
      <c r="A37" s="244" t="s">
        <v>16</v>
      </c>
      <c r="B37" s="244"/>
      <c r="C37" s="244"/>
      <c r="D37" s="244"/>
      <c r="E37" s="244"/>
      <c r="F37" s="244"/>
      <c r="G37" s="244"/>
      <c r="H37" s="153">
        <f>SUM(H31:H36)</f>
        <v>40892.54643895411</v>
      </c>
    </row>
    <row r="38" spans="1:8" s="10" customFormat="1" ht="15">
      <c r="A38" s="205">
        <v>4</v>
      </c>
      <c r="B38" s="147"/>
      <c r="C38" s="245" t="s">
        <v>35</v>
      </c>
      <c r="D38" s="245"/>
      <c r="E38" s="245"/>
      <c r="F38" s="245"/>
      <c r="G38" s="245"/>
      <c r="H38" s="245"/>
    </row>
    <row r="39" spans="1:8" s="8" customFormat="1" ht="37.5">
      <c r="A39" s="157" t="s">
        <v>32</v>
      </c>
      <c r="B39" s="157" t="s">
        <v>26</v>
      </c>
      <c r="C39" s="206" t="s">
        <v>426</v>
      </c>
      <c r="D39" s="159">
        <f>2.94+18.93+6.93+8.09</f>
        <v>36.89</v>
      </c>
      <c r="E39" s="157" t="s">
        <v>13</v>
      </c>
      <c r="F39" s="160">
        <v>90.67</v>
      </c>
      <c r="G39" s="201">
        <f>F39*1.2771</f>
        <v>115.79465699999999</v>
      </c>
      <c r="H39" s="152">
        <f>D39*G39</f>
        <v>4271.66489673</v>
      </c>
    </row>
    <row r="40" spans="1:8" s="8" customFormat="1" ht="15">
      <c r="A40" s="157" t="s">
        <v>399</v>
      </c>
      <c r="B40" s="157">
        <v>96114</v>
      </c>
      <c r="C40" s="206" t="s">
        <v>427</v>
      </c>
      <c r="D40" s="159">
        <f>12.93+15.8+9.63+226.42+6.35</f>
        <v>271.13</v>
      </c>
      <c r="E40" s="157" t="s">
        <v>13</v>
      </c>
      <c r="F40" s="160">
        <v>89.32</v>
      </c>
      <c r="G40" s="201">
        <f aca="true" t="shared" si="9" ref="G40">F40*1.2771</f>
        <v>114.07057199999998</v>
      </c>
      <c r="H40" s="152">
        <f aca="true" t="shared" si="10" ref="H40">D40*G40</f>
        <v>30927.954186359995</v>
      </c>
    </row>
    <row r="41" spans="1:8" s="7" customFormat="1" ht="15">
      <c r="A41" s="244" t="s">
        <v>16</v>
      </c>
      <c r="B41" s="244"/>
      <c r="C41" s="244"/>
      <c r="D41" s="244"/>
      <c r="E41" s="244"/>
      <c r="F41" s="244"/>
      <c r="G41" s="244"/>
      <c r="H41" s="153">
        <f>SUM(H39:H40)</f>
        <v>35199.619083089994</v>
      </c>
    </row>
    <row r="42" spans="1:8" s="10" customFormat="1" ht="15">
      <c r="A42" s="147">
        <v>5</v>
      </c>
      <c r="B42" s="147"/>
      <c r="C42" s="245" t="s">
        <v>31</v>
      </c>
      <c r="D42" s="245"/>
      <c r="E42" s="245"/>
      <c r="F42" s="245"/>
      <c r="G42" s="245"/>
      <c r="H42" s="245"/>
    </row>
    <row r="43" spans="1:8" s="8" customFormat="1" ht="37.5">
      <c r="A43" s="148" t="s">
        <v>34</v>
      </c>
      <c r="B43" s="148">
        <v>98680</v>
      </c>
      <c r="C43" s="149" t="s">
        <v>428</v>
      </c>
      <c r="D43" s="150">
        <v>308.02</v>
      </c>
      <c r="E43" s="148" t="s">
        <v>13</v>
      </c>
      <c r="F43" s="151">
        <v>41.54</v>
      </c>
      <c r="G43" s="152">
        <f aca="true" t="shared" si="11" ref="G43">F43*1.2771</f>
        <v>53.05073399999999</v>
      </c>
      <c r="H43" s="152">
        <f>D43*G43</f>
        <v>16340.687086679996</v>
      </c>
    </row>
    <row r="44" spans="1:8" s="8" customFormat="1" ht="37.5">
      <c r="A44" s="148" t="s">
        <v>325</v>
      </c>
      <c r="B44" s="148" t="s">
        <v>429</v>
      </c>
      <c r="C44" s="149" t="s">
        <v>430</v>
      </c>
      <c r="D44" s="150">
        <f>261.5+128.24/2</f>
        <v>325.62</v>
      </c>
      <c r="E44" s="148" t="s">
        <v>13</v>
      </c>
      <c r="F44" s="151">
        <v>158.65</v>
      </c>
      <c r="G44" s="152">
        <f aca="true" t="shared" si="12" ref="G44:G47">F44*1.2771</f>
        <v>202.61191499999998</v>
      </c>
      <c r="H44" s="152">
        <f aca="true" t="shared" si="13" ref="H44:H47">D44*G44</f>
        <v>65974.4917623</v>
      </c>
    </row>
    <row r="45" spans="1:8" s="8" customFormat="1" ht="37.5">
      <c r="A45" s="148" t="s">
        <v>400</v>
      </c>
      <c r="B45" s="148">
        <v>87249</v>
      </c>
      <c r="C45" s="149" t="s">
        <v>431</v>
      </c>
      <c r="D45" s="150">
        <v>46.51</v>
      </c>
      <c r="E45" s="148" t="s">
        <v>13</v>
      </c>
      <c r="F45" s="151">
        <v>60.38</v>
      </c>
      <c r="G45" s="152">
        <f t="shared" si="12"/>
        <v>77.11129799999999</v>
      </c>
      <c r="H45" s="152">
        <f t="shared" si="13"/>
        <v>3586.4464699799996</v>
      </c>
    </row>
    <row r="46" spans="1:8" s="8" customFormat="1" ht="37.5">
      <c r="A46" s="148" t="s">
        <v>401</v>
      </c>
      <c r="B46" s="148" t="s">
        <v>432</v>
      </c>
      <c r="C46" s="149" t="s">
        <v>433</v>
      </c>
      <c r="D46" s="150">
        <f>5.9+5.9</f>
        <v>11.8</v>
      </c>
      <c r="E46" s="148" t="s">
        <v>33</v>
      </c>
      <c r="F46" s="151">
        <v>14.17</v>
      </c>
      <c r="G46" s="152">
        <f t="shared" si="12"/>
        <v>18.096507</v>
      </c>
      <c r="H46" s="152">
        <f t="shared" si="13"/>
        <v>213.5387826</v>
      </c>
    </row>
    <row r="47" spans="1:8" s="8" customFormat="1" ht="15">
      <c r="A47" s="148" t="s">
        <v>663</v>
      </c>
      <c r="B47" s="148" t="s">
        <v>661</v>
      </c>
      <c r="C47" s="149" t="s">
        <v>662</v>
      </c>
      <c r="D47" s="150">
        <v>7.86</v>
      </c>
      <c r="E47" s="148" t="s">
        <v>13</v>
      </c>
      <c r="F47" s="151">
        <v>527.08</v>
      </c>
      <c r="G47" s="152">
        <f t="shared" si="12"/>
        <v>673.133868</v>
      </c>
      <c r="H47" s="152">
        <f t="shared" si="13"/>
        <v>5290.83220248</v>
      </c>
    </row>
    <row r="48" spans="1:8" s="7" customFormat="1" ht="15">
      <c r="A48" s="244" t="s">
        <v>16</v>
      </c>
      <c r="B48" s="244"/>
      <c r="C48" s="244"/>
      <c r="D48" s="244"/>
      <c r="E48" s="244"/>
      <c r="F48" s="244"/>
      <c r="G48" s="244"/>
      <c r="H48" s="153">
        <f>SUM(H43:H47)</f>
        <v>91405.99630403999</v>
      </c>
    </row>
    <row r="49" spans="1:8" s="9" customFormat="1" ht="15">
      <c r="A49" s="154">
        <v>6</v>
      </c>
      <c r="B49" s="154"/>
      <c r="C49" s="245" t="s">
        <v>438</v>
      </c>
      <c r="D49" s="245"/>
      <c r="E49" s="245"/>
      <c r="F49" s="245"/>
      <c r="G49" s="245"/>
      <c r="H49" s="245"/>
    </row>
    <row r="50" spans="1:8" s="8" customFormat="1" ht="37.5">
      <c r="A50" s="157" t="s">
        <v>36</v>
      </c>
      <c r="B50" s="157" t="s">
        <v>45</v>
      </c>
      <c r="C50" s="158" t="s">
        <v>434</v>
      </c>
      <c r="D50" s="203">
        <v>1</v>
      </c>
      <c r="E50" s="157" t="s">
        <v>33</v>
      </c>
      <c r="F50" s="160">
        <v>68.47</v>
      </c>
      <c r="G50" s="152">
        <f aca="true" t="shared" si="14" ref="G50">F50*1.2771</f>
        <v>87.44303699999999</v>
      </c>
      <c r="H50" s="152">
        <f>D50*G50</f>
        <v>87.44303699999999</v>
      </c>
    </row>
    <row r="51" spans="1:8" s="8" customFormat="1" ht="37.5">
      <c r="A51" s="157" t="s">
        <v>37</v>
      </c>
      <c r="B51" s="157">
        <v>98546</v>
      </c>
      <c r="C51" s="158" t="s">
        <v>435</v>
      </c>
      <c r="D51" s="203">
        <f>1*1.2+(0.9+1.2+0.9)/2+1.3*(1.2+1.15+1.15)+(1.3+1.2+1.15+1.15)/2+1.3*0.8+(0.8+1.3+0.8)/2+1.88*0.8+(0.8+1.88+0.8)/2+6</f>
        <v>21.384</v>
      </c>
      <c r="E51" s="157" t="s">
        <v>13</v>
      </c>
      <c r="F51" s="160">
        <v>93.14</v>
      </c>
      <c r="G51" s="152">
        <f aca="true" t="shared" si="15" ref="G51:G53">F51*1.2771</f>
        <v>118.94909399999999</v>
      </c>
      <c r="H51" s="152">
        <f aca="true" t="shared" si="16" ref="H51:H53">D51*G51</f>
        <v>2543.607426096</v>
      </c>
    </row>
    <row r="52" spans="1:8" s="8" customFormat="1" ht="37.5">
      <c r="A52" s="157" t="s">
        <v>326</v>
      </c>
      <c r="B52" s="157">
        <v>98565</v>
      </c>
      <c r="C52" s="158" t="s">
        <v>436</v>
      </c>
      <c r="D52" s="203">
        <f>D51</f>
        <v>21.384</v>
      </c>
      <c r="E52" s="157" t="s">
        <v>13</v>
      </c>
      <c r="F52" s="160">
        <v>45.06</v>
      </c>
      <c r="G52" s="152">
        <f t="shared" si="15"/>
        <v>57.546126</v>
      </c>
      <c r="H52" s="152">
        <f t="shared" si="16"/>
        <v>1230.566358384</v>
      </c>
    </row>
    <row r="53" spans="1:8" s="8" customFormat="1" ht="37.5">
      <c r="A53" s="157" t="s">
        <v>402</v>
      </c>
      <c r="B53" s="157">
        <v>98555</v>
      </c>
      <c r="C53" s="158" t="s">
        <v>437</v>
      </c>
      <c r="D53" s="203">
        <f>1*2.8</f>
        <v>2.8</v>
      </c>
      <c r="E53" s="157" t="s">
        <v>13</v>
      </c>
      <c r="F53" s="160">
        <v>23.71</v>
      </c>
      <c r="G53" s="152">
        <f t="shared" si="15"/>
        <v>30.280040999999997</v>
      </c>
      <c r="H53" s="152">
        <f t="shared" si="16"/>
        <v>84.78411479999998</v>
      </c>
    </row>
    <row r="54" spans="1:8" s="7" customFormat="1" ht="15">
      <c r="A54" s="244" t="s">
        <v>16</v>
      </c>
      <c r="B54" s="244"/>
      <c r="C54" s="244"/>
      <c r="D54" s="244"/>
      <c r="E54" s="244"/>
      <c r="F54" s="244"/>
      <c r="G54" s="244"/>
      <c r="H54" s="153">
        <f>SUM(H50:H53)</f>
        <v>3946.4009362799998</v>
      </c>
    </row>
    <row r="55" spans="1:8" s="11" customFormat="1" ht="15">
      <c r="A55" s="147">
        <v>7</v>
      </c>
      <c r="B55" s="202"/>
      <c r="C55" s="243" t="s">
        <v>38</v>
      </c>
      <c r="D55" s="243"/>
      <c r="E55" s="243"/>
      <c r="F55" s="243"/>
      <c r="G55" s="243"/>
      <c r="H55" s="243"/>
    </row>
    <row r="56" spans="1:8" s="9" customFormat="1" ht="37.5">
      <c r="A56" s="148" t="s">
        <v>39</v>
      </c>
      <c r="B56" s="148" t="s">
        <v>439</v>
      </c>
      <c r="C56" s="169" t="s">
        <v>440</v>
      </c>
      <c r="D56" s="150">
        <f>D39*2+(3*2+4.37*2)*3+(1.4*2+2.3*2)*3+(1.88*2+2.3*2)*3</f>
        <v>165.27999999999997</v>
      </c>
      <c r="E56" s="148" t="s">
        <v>13</v>
      </c>
      <c r="F56" s="151">
        <v>6.46</v>
      </c>
      <c r="G56" s="152">
        <f aca="true" t="shared" si="17" ref="G56:G57">F56*1.2771</f>
        <v>8.250065999999999</v>
      </c>
      <c r="H56" s="152">
        <f aca="true" t="shared" si="18" ref="H56:H57">D56*G56</f>
        <v>1363.5709084799996</v>
      </c>
    </row>
    <row r="57" spans="1:8" s="9" customFormat="1" ht="56.25">
      <c r="A57" s="148" t="s">
        <v>40</v>
      </c>
      <c r="B57" s="148" t="s">
        <v>441</v>
      </c>
      <c r="C57" s="169" t="s">
        <v>442</v>
      </c>
      <c r="D57" s="150">
        <f>D56</f>
        <v>165.27999999999997</v>
      </c>
      <c r="E57" s="148" t="s">
        <v>13</v>
      </c>
      <c r="F57" s="151">
        <v>35.21</v>
      </c>
      <c r="G57" s="152">
        <f t="shared" si="17"/>
        <v>44.966691</v>
      </c>
      <c r="H57" s="152">
        <f t="shared" si="18"/>
        <v>7432.094688479999</v>
      </c>
    </row>
    <row r="58" spans="1:8" s="9" customFormat="1" ht="56.25">
      <c r="A58" s="148" t="s">
        <v>41</v>
      </c>
      <c r="B58" s="148">
        <v>87272</v>
      </c>
      <c r="C58" s="169" t="s">
        <v>443</v>
      </c>
      <c r="D58" s="150">
        <f>18.8*2.8-0.8*2.1+7.3*2.8-0.8*2.1+7.38*2.8-0.8*2.1+8.34*2.8-0.8*2.1+13.55*2.8-0.8*2.1</f>
        <v>146.63599999999997</v>
      </c>
      <c r="E58" s="148" t="s">
        <v>13</v>
      </c>
      <c r="F58" s="151">
        <v>67.9</v>
      </c>
      <c r="G58" s="152">
        <f aca="true" t="shared" si="19" ref="G58">F58*1.2771</f>
        <v>86.71509</v>
      </c>
      <c r="H58" s="152">
        <f aca="true" t="shared" si="20" ref="H58">D58*G58</f>
        <v>12715.553937239998</v>
      </c>
    </row>
    <row r="59" spans="1:8" s="7" customFormat="1" ht="15">
      <c r="A59" s="244" t="s">
        <v>16</v>
      </c>
      <c r="B59" s="244"/>
      <c r="C59" s="244"/>
      <c r="D59" s="244"/>
      <c r="E59" s="244"/>
      <c r="F59" s="244"/>
      <c r="G59" s="244"/>
      <c r="H59" s="153">
        <f>SUM(H56:H58)</f>
        <v>21511.219534199998</v>
      </c>
    </row>
    <row r="60" spans="1:8" s="11" customFormat="1" ht="15">
      <c r="A60" s="147">
        <v>8</v>
      </c>
      <c r="B60" s="202"/>
      <c r="C60" s="243" t="s">
        <v>42</v>
      </c>
      <c r="D60" s="243"/>
      <c r="E60" s="243"/>
      <c r="F60" s="243"/>
      <c r="G60" s="243"/>
      <c r="H60" s="243"/>
    </row>
    <row r="61" spans="1:8" s="8" customFormat="1" ht="56.25">
      <c r="A61" s="207" t="s">
        <v>43</v>
      </c>
      <c r="B61" s="148">
        <v>90791</v>
      </c>
      <c r="C61" s="149" t="s">
        <v>444</v>
      </c>
      <c r="D61" s="150">
        <v>10</v>
      </c>
      <c r="E61" s="148" t="s">
        <v>44</v>
      </c>
      <c r="F61" s="151">
        <v>1028.86</v>
      </c>
      <c r="G61" s="152">
        <f>F61*1.2771</f>
        <v>1313.9571059999998</v>
      </c>
      <c r="H61" s="152">
        <f>D61*G61</f>
        <v>13139.571059999998</v>
      </c>
    </row>
    <row r="62" spans="1:8" s="8" customFormat="1" ht="15">
      <c r="A62" s="207" t="s">
        <v>403</v>
      </c>
      <c r="B62" s="148" t="s">
        <v>49</v>
      </c>
      <c r="C62" s="149" t="s">
        <v>445</v>
      </c>
      <c r="D62" s="150">
        <v>1</v>
      </c>
      <c r="E62" s="148" t="s">
        <v>44</v>
      </c>
      <c r="F62" s="151">
        <v>2640.69</v>
      </c>
      <c r="G62" s="152">
        <f aca="true" t="shared" si="21" ref="G62:G63">F62*1.2771</f>
        <v>3372.425199</v>
      </c>
      <c r="H62" s="152">
        <f aca="true" t="shared" si="22" ref="H62:H63">D62*G62</f>
        <v>3372.425199</v>
      </c>
    </row>
    <row r="63" spans="1:8" s="8" customFormat="1" ht="15">
      <c r="A63" s="207" t="s">
        <v>404</v>
      </c>
      <c r="B63" s="211" t="s">
        <v>636</v>
      </c>
      <c r="C63" s="169" t="s">
        <v>51</v>
      </c>
      <c r="D63" s="150">
        <v>4</v>
      </c>
      <c r="E63" s="148" t="s">
        <v>44</v>
      </c>
      <c r="F63" s="151">
        <v>526.61</v>
      </c>
      <c r="G63" s="152">
        <f t="shared" si="21"/>
        <v>672.533631</v>
      </c>
      <c r="H63" s="152">
        <f t="shared" si="22"/>
        <v>2690.134524</v>
      </c>
    </row>
    <row r="64" spans="1:8" s="7" customFormat="1" ht="15">
      <c r="A64" s="244" t="s">
        <v>16</v>
      </c>
      <c r="B64" s="244"/>
      <c r="C64" s="244"/>
      <c r="D64" s="244"/>
      <c r="E64" s="244"/>
      <c r="F64" s="244"/>
      <c r="G64" s="244"/>
      <c r="H64" s="153">
        <f>SUM(H61:H63)</f>
        <v>19202.130783</v>
      </c>
    </row>
    <row r="65" spans="1:8" s="11" customFormat="1" ht="15">
      <c r="A65" s="147">
        <v>9</v>
      </c>
      <c r="B65" s="202"/>
      <c r="C65" s="243" t="s">
        <v>53</v>
      </c>
      <c r="D65" s="243"/>
      <c r="E65" s="243"/>
      <c r="F65" s="243"/>
      <c r="G65" s="243"/>
      <c r="H65" s="243"/>
    </row>
    <row r="66" spans="1:8" s="11" customFormat="1" ht="15">
      <c r="A66" s="147"/>
      <c r="B66" s="202"/>
      <c r="C66" s="243" t="s">
        <v>54</v>
      </c>
      <c r="D66" s="243"/>
      <c r="E66" s="243"/>
      <c r="F66" s="243"/>
      <c r="G66" s="243"/>
      <c r="H66" s="243"/>
    </row>
    <row r="67" spans="1:8" s="10" customFormat="1" ht="56.25">
      <c r="A67" s="157" t="s">
        <v>52</v>
      </c>
      <c r="B67" s="157">
        <v>91792</v>
      </c>
      <c r="C67" s="158" t="s">
        <v>450</v>
      </c>
      <c r="D67" s="159">
        <f>20*0.5+32+8</f>
        <v>50</v>
      </c>
      <c r="E67" s="157" t="s">
        <v>33</v>
      </c>
      <c r="F67" s="160">
        <v>57.91</v>
      </c>
      <c r="G67" s="201">
        <f aca="true" t="shared" si="23" ref="G67:G68">F67*1.2771</f>
        <v>73.95686099999999</v>
      </c>
      <c r="H67" s="201">
        <f>D67*G67</f>
        <v>3697.8430499999995</v>
      </c>
    </row>
    <row r="68" spans="1:8" s="10" customFormat="1" ht="56.25">
      <c r="A68" s="157" t="s">
        <v>327</v>
      </c>
      <c r="B68" s="157" t="s">
        <v>451</v>
      </c>
      <c r="C68" s="158" t="s">
        <v>452</v>
      </c>
      <c r="D68" s="159">
        <f>6*1.5</f>
        <v>9</v>
      </c>
      <c r="E68" s="157" t="s">
        <v>33</v>
      </c>
      <c r="F68" s="160">
        <v>89.53</v>
      </c>
      <c r="G68" s="201">
        <f t="shared" si="23"/>
        <v>114.33876299999999</v>
      </c>
      <c r="H68" s="201">
        <f>D68*G68</f>
        <v>1029.048867</v>
      </c>
    </row>
    <row r="69" spans="1:8" s="10" customFormat="1" ht="56.25">
      <c r="A69" s="157" t="s">
        <v>328</v>
      </c>
      <c r="B69" s="157">
        <v>91794</v>
      </c>
      <c r="C69" s="158" t="s">
        <v>453</v>
      </c>
      <c r="D69" s="159">
        <f>D68</f>
        <v>9</v>
      </c>
      <c r="E69" s="157" t="s">
        <v>33</v>
      </c>
      <c r="F69" s="160">
        <v>46.21</v>
      </c>
      <c r="G69" s="201">
        <f aca="true" t="shared" si="24" ref="G69:G71">F69*1.2771</f>
        <v>59.014790999999995</v>
      </c>
      <c r="H69" s="201">
        <f aca="true" t="shared" si="25" ref="H69:H71">D69*G69</f>
        <v>531.133119</v>
      </c>
    </row>
    <row r="70" spans="1:8" s="10" customFormat="1" ht="56.25">
      <c r="A70" s="157" t="s">
        <v>329</v>
      </c>
      <c r="B70" s="157">
        <v>91795</v>
      </c>
      <c r="C70" s="158" t="s">
        <v>454</v>
      </c>
      <c r="D70" s="159">
        <f>2.3*4</f>
        <v>9.2</v>
      </c>
      <c r="E70" s="157" t="s">
        <v>33</v>
      </c>
      <c r="F70" s="160">
        <v>75.71</v>
      </c>
      <c r="G70" s="201">
        <f t="shared" si="24"/>
        <v>96.68924099999998</v>
      </c>
      <c r="H70" s="201">
        <f t="shared" si="25"/>
        <v>889.5410171999997</v>
      </c>
    </row>
    <row r="71" spans="1:8" s="10" customFormat="1" ht="37.5">
      <c r="A71" s="157" t="s">
        <v>330</v>
      </c>
      <c r="B71" s="157">
        <v>89708</v>
      </c>
      <c r="C71" s="158" t="s">
        <v>455</v>
      </c>
      <c r="D71" s="159">
        <v>14</v>
      </c>
      <c r="E71" s="157" t="s">
        <v>44</v>
      </c>
      <c r="F71" s="160">
        <v>104.15</v>
      </c>
      <c r="G71" s="201">
        <f t="shared" si="24"/>
        <v>133.009965</v>
      </c>
      <c r="H71" s="201">
        <f t="shared" si="25"/>
        <v>1862.13951</v>
      </c>
    </row>
    <row r="72" spans="1:8" s="9" customFormat="1" ht="15">
      <c r="A72" s="157"/>
      <c r="B72" s="157"/>
      <c r="C72" s="248" t="s">
        <v>320</v>
      </c>
      <c r="D72" s="248"/>
      <c r="E72" s="248"/>
      <c r="F72" s="248"/>
      <c r="G72" s="248"/>
      <c r="H72" s="248"/>
    </row>
    <row r="73" spans="1:8" s="9" customFormat="1" ht="37.5">
      <c r="A73" s="157" t="s">
        <v>331</v>
      </c>
      <c r="B73" s="157">
        <v>90443</v>
      </c>
      <c r="C73" s="158" t="s">
        <v>446</v>
      </c>
      <c r="D73" s="159">
        <v>60</v>
      </c>
      <c r="E73" s="157" t="s">
        <v>33</v>
      </c>
      <c r="F73" s="160">
        <v>11.4</v>
      </c>
      <c r="G73" s="201">
        <f aca="true" t="shared" si="26" ref="G73">F73*1.2771</f>
        <v>14.55894</v>
      </c>
      <c r="H73" s="201">
        <f>D73*G73</f>
        <v>873.5364</v>
      </c>
    </row>
    <row r="74" spans="1:8" s="9" customFormat="1" ht="37.5">
      <c r="A74" s="157" t="s">
        <v>332</v>
      </c>
      <c r="B74" s="157">
        <v>90466</v>
      </c>
      <c r="C74" s="158" t="s">
        <v>447</v>
      </c>
      <c r="D74" s="159">
        <v>60</v>
      </c>
      <c r="E74" s="157" t="s">
        <v>33</v>
      </c>
      <c r="F74" s="160">
        <v>11.61</v>
      </c>
      <c r="G74" s="201">
        <f aca="true" t="shared" si="27" ref="G74:G75">F74*1.2771</f>
        <v>14.827130999999998</v>
      </c>
      <c r="H74" s="201">
        <f aca="true" t="shared" si="28" ref="H74:H75">D74*G74</f>
        <v>889.6278599999998</v>
      </c>
    </row>
    <row r="75" spans="1:8" s="9" customFormat="1" ht="56.25">
      <c r="A75" s="157" t="s">
        <v>333</v>
      </c>
      <c r="B75" s="157" t="s">
        <v>448</v>
      </c>
      <c r="C75" s="158" t="s">
        <v>449</v>
      </c>
      <c r="D75" s="159">
        <v>60</v>
      </c>
      <c r="E75" s="157" t="s">
        <v>33</v>
      </c>
      <c r="F75" s="160">
        <v>44.17</v>
      </c>
      <c r="G75" s="201">
        <f t="shared" si="27"/>
        <v>56.409507</v>
      </c>
      <c r="H75" s="201">
        <f t="shared" si="28"/>
        <v>3384.57042</v>
      </c>
    </row>
    <row r="76" spans="1:8" s="8" customFormat="1" ht="15">
      <c r="A76" s="154"/>
      <c r="B76" s="148"/>
      <c r="C76" s="243" t="s">
        <v>321</v>
      </c>
      <c r="D76" s="243"/>
      <c r="E76" s="243"/>
      <c r="F76" s="243"/>
      <c r="G76" s="243"/>
      <c r="H76" s="243"/>
    </row>
    <row r="77" spans="1:8" s="8" customFormat="1" ht="37.5">
      <c r="A77" s="148" t="s">
        <v>334</v>
      </c>
      <c r="B77" s="162">
        <v>86888</v>
      </c>
      <c r="C77" s="149" t="s">
        <v>456</v>
      </c>
      <c r="D77" s="150">
        <v>6</v>
      </c>
      <c r="E77" s="148" t="s">
        <v>44</v>
      </c>
      <c r="F77" s="151">
        <v>434.13</v>
      </c>
      <c r="G77" s="152">
        <f aca="true" t="shared" si="29" ref="G77:G78">F77*1.2771</f>
        <v>554.427423</v>
      </c>
      <c r="H77" s="152">
        <f aca="true" t="shared" si="30" ref="H77:H78">D77*G77</f>
        <v>3326.5645379999996</v>
      </c>
    </row>
    <row r="78" spans="1:8" s="8" customFormat="1" ht="37.5">
      <c r="A78" s="148" t="s">
        <v>335</v>
      </c>
      <c r="B78" s="162">
        <v>86903</v>
      </c>
      <c r="C78" s="149" t="s">
        <v>457</v>
      </c>
      <c r="D78" s="150">
        <v>8</v>
      </c>
      <c r="E78" s="148" t="s">
        <v>44</v>
      </c>
      <c r="F78" s="151">
        <v>326.38</v>
      </c>
      <c r="G78" s="152">
        <f t="shared" si="29"/>
        <v>416.81989799999997</v>
      </c>
      <c r="H78" s="152">
        <f t="shared" si="30"/>
        <v>3334.5591839999997</v>
      </c>
    </row>
    <row r="79" spans="1:8" s="8" customFormat="1" ht="37.5">
      <c r="A79" s="148" t="s">
        <v>336</v>
      </c>
      <c r="B79" s="162">
        <v>86905</v>
      </c>
      <c r="C79" s="149" t="s">
        <v>458</v>
      </c>
      <c r="D79" s="150">
        <v>9</v>
      </c>
      <c r="E79" s="148" t="s">
        <v>44</v>
      </c>
      <c r="F79" s="151">
        <v>561.44</v>
      </c>
      <c r="G79" s="152">
        <f aca="true" t="shared" si="31" ref="G79:G88">F79*1.2771</f>
        <v>717.015024</v>
      </c>
      <c r="H79" s="152">
        <f aca="true" t="shared" si="32" ref="H79:H88">D79*G79</f>
        <v>6453.135216000001</v>
      </c>
    </row>
    <row r="80" spans="1:8" s="8" customFormat="1" ht="15">
      <c r="A80" s="148" t="s">
        <v>337</v>
      </c>
      <c r="B80" s="162">
        <v>86887</v>
      </c>
      <c r="C80" s="149" t="s">
        <v>459</v>
      </c>
      <c r="D80" s="150">
        <f>9+6</f>
        <v>15</v>
      </c>
      <c r="E80" s="148" t="s">
        <v>44</v>
      </c>
      <c r="F80" s="151">
        <v>69.63</v>
      </c>
      <c r="G80" s="152">
        <f t="shared" si="31"/>
        <v>88.92447299999999</v>
      </c>
      <c r="H80" s="152">
        <f t="shared" si="32"/>
        <v>1333.8670949999998</v>
      </c>
    </row>
    <row r="81" spans="1:8" s="8" customFormat="1" ht="15">
      <c r="A81" s="148" t="s">
        <v>338</v>
      </c>
      <c r="B81" s="162">
        <v>86883</v>
      </c>
      <c r="C81" s="149" t="s">
        <v>460</v>
      </c>
      <c r="D81" s="150">
        <v>9</v>
      </c>
      <c r="E81" s="148" t="s">
        <v>44</v>
      </c>
      <c r="F81" s="151">
        <v>14.19</v>
      </c>
      <c r="G81" s="152">
        <f t="shared" si="31"/>
        <v>18.122048999999997</v>
      </c>
      <c r="H81" s="152">
        <f t="shared" si="32"/>
        <v>163.09844099999998</v>
      </c>
    </row>
    <row r="82" spans="1:8" s="8" customFormat="1" ht="37.5">
      <c r="A82" s="148" t="s">
        <v>339</v>
      </c>
      <c r="B82" s="162">
        <v>86877</v>
      </c>
      <c r="C82" s="149" t="s">
        <v>461</v>
      </c>
      <c r="D82" s="150">
        <v>9</v>
      </c>
      <c r="E82" s="148" t="s">
        <v>44</v>
      </c>
      <c r="F82" s="151">
        <v>86.88</v>
      </c>
      <c r="G82" s="152">
        <f t="shared" si="31"/>
        <v>110.95444799999999</v>
      </c>
      <c r="H82" s="152">
        <f t="shared" si="32"/>
        <v>998.5900319999998</v>
      </c>
    </row>
    <row r="83" spans="1:8" s="8" customFormat="1" ht="15">
      <c r="A83" s="148" t="s">
        <v>340</v>
      </c>
      <c r="B83" s="162">
        <v>100856</v>
      </c>
      <c r="C83" s="149" t="s">
        <v>462</v>
      </c>
      <c r="D83" s="150">
        <v>25</v>
      </c>
      <c r="E83" s="148" t="s">
        <v>44</v>
      </c>
      <c r="F83" s="151">
        <v>51.8</v>
      </c>
      <c r="G83" s="152">
        <f t="shared" si="31"/>
        <v>66.15378</v>
      </c>
      <c r="H83" s="152">
        <f t="shared" si="32"/>
        <v>1653.8445</v>
      </c>
    </row>
    <row r="84" spans="1:8" s="8" customFormat="1" ht="37.5">
      <c r="A84" s="148" t="s">
        <v>341</v>
      </c>
      <c r="B84" s="162">
        <v>89349</v>
      </c>
      <c r="C84" s="149" t="s">
        <v>463</v>
      </c>
      <c r="D84" s="150">
        <f>6+10</f>
        <v>16</v>
      </c>
      <c r="E84" s="148" t="s">
        <v>44</v>
      </c>
      <c r="F84" s="151">
        <v>30.61</v>
      </c>
      <c r="G84" s="152">
        <f t="shared" si="31"/>
        <v>39.092031</v>
      </c>
      <c r="H84" s="152">
        <f t="shared" si="32"/>
        <v>625.472496</v>
      </c>
    </row>
    <row r="85" spans="1:8" s="8" customFormat="1" ht="37.5">
      <c r="A85" s="148" t="s">
        <v>342</v>
      </c>
      <c r="B85" s="162">
        <v>89353</v>
      </c>
      <c r="C85" s="149" t="s">
        <v>464</v>
      </c>
      <c r="D85" s="150">
        <v>9</v>
      </c>
      <c r="E85" s="148" t="s">
        <v>44</v>
      </c>
      <c r="F85" s="151">
        <v>45.68</v>
      </c>
      <c r="G85" s="152">
        <f t="shared" si="31"/>
        <v>58.337928</v>
      </c>
      <c r="H85" s="152">
        <f t="shared" si="32"/>
        <v>525.041352</v>
      </c>
    </row>
    <row r="86" spans="1:8" s="8" customFormat="1" ht="75">
      <c r="A86" s="148" t="s">
        <v>343</v>
      </c>
      <c r="B86" s="162" t="s">
        <v>465</v>
      </c>
      <c r="C86" s="149" t="s">
        <v>466</v>
      </c>
      <c r="D86" s="150">
        <v>1</v>
      </c>
      <c r="E86" s="148" t="s">
        <v>44</v>
      </c>
      <c r="F86" s="151">
        <v>3390</v>
      </c>
      <c r="G86" s="152">
        <f t="shared" si="31"/>
        <v>4329.369</v>
      </c>
      <c r="H86" s="152">
        <f t="shared" si="32"/>
        <v>4329.369</v>
      </c>
    </row>
    <row r="87" spans="1:8" s="8" customFormat="1" ht="56.25">
      <c r="A87" s="148" t="s">
        <v>344</v>
      </c>
      <c r="B87" s="162" t="s">
        <v>465</v>
      </c>
      <c r="C87" s="149" t="s">
        <v>467</v>
      </c>
      <c r="D87" s="150">
        <v>1</v>
      </c>
      <c r="E87" s="148" t="s">
        <v>44</v>
      </c>
      <c r="F87" s="151">
        <v>4110</v>
      </c>
      <c r="G87" s="152">
        <f t="shared" si="31"/>
        <v>5248.880999999999</v>
      </c>
      <c r="H87" s="152">
        <f t="shared" si="32"/>
        <v>5248.880999999999</v>
      </c>
    </row>
    <row r="88" spans="1:8" s="8" customFormat="1" ht="56.25">
      <c r="A88" s="148" t="s">
        <v>345</v>
      </c>
      <c r="B88" s="162" t="s">
        <v>465</v>
      </c>
      <c r="C88" s="149" t="s">
        <v>468</v>
      </c>
      <c r="D88" s="150">
        <v>1</v>
      </c>
      <c r="E88" s="148" t="s">
        <v>44</v>
      </c>
      <c r="F88" s="151">
        <v>4280</v>
      </c>
      <c r="G88" s="152">
        <f t="shared" si="31"/>
        <v>5465.987999999999</v>
      </c>
      <c r="H88" s="152">
        <f t="shared" si="32"/>
        <v>5465.987999999999</v>
      </c>
    </row>
    <row r="89" spans="1:8" s="7" customFormat="1" ht="15">
      <c r="A89" s="226"/>
      <c r="B89" s="226"/>
      <c r="C89" s="226" t="s">
        <v>16</v>
      </c>
      <c r="D89" s="208"/>
      <c r="E89" s="226"/>
      <c r="F89" s="209"/>
      <c r="G89" s="153"/>
      <c r="H89" s="153">
        <f>SUM(H67:H88)</f>
        <v>46615.85109719999</v>
      </c>
    </row>
    <row r="90" spans="1:8" s="11" customFormat="1" ht="15">
      <c r="A90" s="147">
        <v>10</v>
      </c>
      <c r="B90" s="147"/>
      <c r="C90" s="245" t="s">
        <v>78</v>
      </c>
      <c r="D90" s="245"/>
      <c r="E90" s="245"/>
      <c r="F90" s="245"/>
      <c r="G90" s="245"/>
      <c r="H90" s="245"/>
    </row>
    <row r="91" spans="1:8" s="9" customFormat="1" ht="37.5">
      <c r="A91" s="154" t="s">
        <v>55</v>
      </c>
      <c r="B91" s="210">
        <v>101881</v>
      </c>
      <c r="C91" s="167" t="s">
        <v>469</v>
      </c>
      <c r="D91" s="164">
        <v>2</v>
      </c>
      <c r="E91" s="224" t="s">
        <v>44</v>
      </c>
      <c r="F91" s="165">
        <v>1153.86</v>
      </c>
      <c r="G91" s="152">
        <f aca="true" t="shared" si="33" ref="G91:G115">F91*1.2771</f>
        <v>1473.5946059999997</v>
      </c>
      <c r="H91" s="152">
        <f aca="true" t="shared" si="34" ref="H91:H115">D91*G91</f>
        <v>2947.1892119999993</v>
      </c>
    </row>
    <row r="92" spans="1:8" s="9" customFormat="1" ht="37.5">
      <c r="A92" s="154" t="s">
        <v>56</v>
      </c>
      <c r="B92" s="148">
        <v>101882</v>
      </c>
      <c r="C92" s="149" t="s">
        <v>470</v>
      </c>
      <c r="D92" s="164">
        <v>1</v>
      </c>
      <c r="E92" s="224" t="s">
        <v>44</v>
      </c>
      <c r="F92" s="151">
        <v>1644.09</v>
      </c>
      <c r="G92" s="152">
        <f t="shared" si="33"/>
        <v>2099.6673389999996</v>
      </c>
      <c r="H92" s="152">
        <f t="shared" si="34"/>
        <v>2099.6673389999996</v>
      </c>
    </row>
    <row r="93" spans="1:8" s="9" customFormat="1" ht="37.5">
      <c r="A93" s="154" t="s">
        <v>57</v>
      </c>
      <c r="B93" s="148">
        <v>91939</v>
      </c>
      <c r="C93" s="149" t="s">
        <v>471</v>
      </c>
      <c r="D93" s="164">
        <v>17</v>
      </c>
      <c r="E93" s="224" t="s">
        <v>44</v>
      </c>
      <c r="F93" s="151">
        <v>24.85</v>
      </c>
      <c r="G93" s="152">
        <f t="shared" si="33"/>
        <v>31.735934999999998</v>
      </c>
      <c r="H93" s="152">
        <f t="shared" si="34"/>
        <v>539.510895</v>
      </c>
    </row>
    <row r="94" spans="1:8" s="9" customFormat="1" ht="37.5">
      <c r="A94" s="154" t="s">
        <v>58</v>
      </c>
      <c r="B94" s="148">
        <v>91940</v>
      </c>
      <c r="C94" s="149" t="s">
        <v>472</v>
      </c>
      <c r="D94" s="164">
        <v>141</v>
      </c>
      <c r="E94" s="224" t="s">
        <v>44</v>
      </c>
      <c r="F94" s="151">
        <v>13.69</v>
      </c>
      <c r="G94" s="152">
        <f t="shared" si="33"/>
        <v>17.483499</v>
      </c>
      <c r="H94" s="152">
        <f t="shared" si="34"/>
        <v>2465.173359</v>
      </c>
    </row>
    <row r="95" spans="1:8" s="9" customFormat="1" ht="37.5">
      <c r="A95" s="154" t="s">
        <v>59</v>
      </c>
      <c r="B95" s="148">
        <v>91941</v>
      </c>
      <c r="C95" s="149" t="s">
        <v>473</v>
      </c>
      <c r="D95" s="164">
        <v>44</v>
      </c>
      <c r="E95" s="224" t="s">
        <v>44</v>
      </c>
      <c r="F95" s="151">
        <v>9.5</v>
      </c>
      <c r="G95" s="152">
        <f t="shared" si="33"/>
        <v>12.132449999999999</v>
      </c>
      <c r="H95" s="152">
        <f t="shared" si="34"/>
        <v>533.8277999999999</v>
      </c>
    </row>
    <row r="96" spans="1:8" s="9" customFormat="1" ht="15">
      <c r="A96" s="154" t="s">
        <v>60</v>
      </c>
      <c r="B96" s="148">
        <v>91936</v>
      </c>
      <c r="C96" s="149" t="s">
        <v>474</v>
      </c>
      <c r="D96" s="164">
        <v>55</v>
      </c>
      <c r="E96" s="224" t="s">
        <v>44</v>
      </c>
      <c r="F96" s="151">
        <v>13.7</v>
      </c>
      <c r="G96" s="152">
        <f t="shared" si="33"/>
        <v>17.49627</v>
      </c>
      <c r="H96" s="152">
        <f t="shared" si="34"/>
        <v>962.29485</v>
      </c>
    </row>
    <row r="97" spans="1:8" s="9" customFormat="1" ht="37.5">
      <c r="A97" s="154" t="s">
        <v>61</v>
      </c>
      <c r="B97" s="148">
        <v>91943</v>
      </c>
      <c r="C97" s="149" t="s">
        <v>475</v>
      </c>
      <c r="D97" s="164">
        <v>20</v>
      </c>
      <c r="E97" s="224" t="s">
        <v>44</v>
      </c>
      <c r="F97" s="151">
        <v>18.35</v>
      </c>
      <c r="G97" s="152">
        <f t="shared" si="33"/>
        <v>23.434785</v>
      </c>
      <c r="H97" s="152">
        <f t="shared" si="34"/>
        <v>468.69570000000004</v>
      </c>
    </row>
    <row r="98" spans="1:8" s="9" customFormat="1" ht="37.5">
      <c r="A98" s="154" t="s">
        <v>62</v>
      </c>
      <c r="B98" s="148">
        <v>95808</v>
      </c>
      <c r="C98" s="149" t="s">
        <v>476</v>
      </c>
      <c r="D98" s="164">
        <v>2</v>
      </c>
      <c r="E98" s="224" t="s">
        <v>44</v>
      </c>
      <c r="F98" s="151">
        <v>29.19</v>
      </c>
      <c r="G98" s="152">
        <f t="shared" si="33"/>
        <v>37.278549</v>
      </c>
      <c r="H98" s="152">
        <f t="shared" si="34"/>
        <v>74.557098</v>
      </c>
    </row>
    <row r="99" spans="1:8" s="9" customFormat="1" ht="37.5">
      <c r="A99" s="154" t="s">
        <v>63</v>
      </c>
      <c r="B99" s="166">
        <v>95817</v>
      </c>
      <c r="C99" s="149" t="s">
        <v>477</v>
      </c>
      <c r="D99" s="164">
        <v>1</v>
      </c>
      <c r="E99" s="224" t="s">
        <v>44</v>
      </c>
      <c r="F99" s="165">
        <v>35.73</v>
      </c>
      <c r="G99" s="152">
        <f t="shared" si="33"/>
        <v>45.630782999999994</v>
      </c>
      <c r="H99" s="152">
        <f t="shared" si="34"/>
        <v>45.630782999999994</v>
      </c>
    </row>
    <row r="100" spans="1:8" s="9" customFormat="1" ht="37.5">
      <c r="A100" s="154" t="s">
        <v>64</v>
      </c>
      <c r="B100" s="148" t="s">
        <v>113</v>
      </c>
      <c r="C100" s="149" t="s">
        <v>478</v>
      </c>
      <c r="D100" s="164">
        <v>40</v>
      </c>
      <c r="E100" s="224" t="s">
        <v>33</v>
      </c>
      <c r="F100" s="165">
        <v>95.06</v>
      </c>
      <c r="G100" s="152">
        <f t="shared" si="33"/>
        <v>121.40112599999999</v>
      </c>
      <c r="H100" s="152">
        <f t="shared" si="34"/>
        <v>4856.04504</v>
      </c>
    </row>
    <row r="101" spans="1:8" s="9" customFormat="1" ht="37.5">
      <c r="A101" s="154" t="s">
        <v>65</v>
      </c>
      <c r="B101" s="148" t="s">
        <v>114</v>
      </c>
      <c r="C101" s="149" t="s">
        <v>479</v>
      </c>
      <c r="D101" s="164">
        <v>105</v>
      </c>
      <c r="E101" s="224" t="s">
        <v>33</v>
      </c>
      <c r="F101" s="165">
        <v>123.59</v>
      </c>
      <c r="G101" s="152">
        <f t="shared" si="33"/>
        <v>157.83678899999998</v>
      </c>
      <c r="H101" s="152">
        <f t="shared" si="34"/>
        <v>16572.862845</v>
      </c>
    </row>
    <row r="102" spans="1:8" s="9" customFormat="1" ht="37.5">
      <c r="A102" s="154" t="s">
        <v>66</v>
      </c>
      <c r="B102" s="162">
        <v>91871</v>
      </c>
      <c r="C102" s="149" t="s">
        <v>480</v>
      </c>
      <c r="D102" s="164">
        <v>400</v>
      </c>
      <c r="E102" s="224" t="s">
        <v>33</v>
      </c>
      <c r="F102" s="165">
        <v>12.06</v>
      </c>
      <c r="G102" s="152">
        <f t="shared" si="33"/>
        <v>15.401826</v>
      </c>
      <c r="H102" s="152">
        <f t="shared" si="34"/>
        <v>6160.7304</v>
      </c>
    </row>
    <row r="103" spans="1:8" s="9" customFormat="1" ht="37.5">
      <c r="A103" s="154" t="s">
        <v>67</v>
      </c>
      <c r="B103" s="162">
        <v>91872</v>
      </c>
      <c r="C103" s="149" t="s">
        <v>481</v>
      </c>
      <c r="D103" s="164">
        <v>100</v>
      </c>
      <c r="E103" s="224" t="s">
        <v>33</v>
      </c>
      <c r="F103" s="165">
        <v>15.92</v>
      </c>
      <c r="G103" s="152">
        <f t="shared" si="33"/>
        <v>20.331432</v>
      </c>
      <c r="H103" s="152">
        <f t="shared" si="34"/>
        <v>2033.1432</v>
      </c>
    </row>
    <row r="104" spans="1:8" s="9" customFormat="1" ht="37.5">
      <c r="A104" s="154" t="s">
        <v>68</v>
      </c>
      <c r="B104" s="148">
        <v>91884</v>
      </c>
      <c r="C104" s="149" t="s">
        <v>482</v>
      </c>
      <c r="D104" s="164">
        <v>208</v>
      </c>
      <c r="E104" s="224" t="s">
        <v>44</v>
      </c>
      <c r="F104" s="165">
        <v>8.03</v>
      </c>
      <c r="G104" s="152">
        <f t="shared" si="33"/>
        <v>10.255112999999998</v>
      </c>
      <c r="H104" s="152">
        <f t="shared" si="34"/>
        <v>2133.0635039999997</v>
      </c>
    </row>
    <row r="105" spans="1:8" s="9" customFormat="1" ht="37.5">
      <c r="A105" s="154" t="s">
        <v>69</v>
      </c>
      <c r="B105" s="148">
        <v>91885</v>
      </c>
      <c r="C105" s="149" t="s">
        <v>483</v>
      </c>
      <c r="D105" s="164">
        <v>50</v>
      </c>
      <c r="E105" s="224" t="s">
        <v>44</v>
      </c>
      <c r="F105" s="165">
        <v>9.58</v>
      </c>
      <c r="G105" s="152">
        <f t="shared" si="33"/>
        <v>12.234618</v>
      </c>
      <c r="H105" s="152">
        <f t="shared" si="34"/>
        <v>611.7309</v>
      </c>
    </row>
    <row r="106" spans="1:8" s="9" customFormat="1" ht="37.5">
      <c r="A106" s="154" t="s">
        <v>70</v>
      </c>
      <c r="B106" s="210">
        <v>91914</v>
      </c>
      <c r="C106" s="167" t="s">
        <v>484</v>
      </c>
      <c r="D106" s="164">
        <v>104</v>
      </c>
      <c r="E106" s="224" t="s">
        <v>44</v>
      </c>
      <c r="F106" s="165">
        <v>13.32</v>
      </c>
      <c r="G106" s="152">
        <f t="shared" si="33"/>
        <v>17.010972</v>
      </c>
      <c r="H106" s="152">
        <f t="shared" si="34"/>
        <v>1769.1410879999999</v>
      </c>
    </row>
    <row r="107" spans="1:8" s="9" customFormat="1" ht="37.5">
      <c r="A107" s="154" t="s">
        <v>71</v>
      </c>
      <c r="B107" s="210">
        <v>91917</v>
      </c>
      <c r="C107" s="167" t="s">
        <v>485</v>
      </c>
      <c r="D107" s="164">
        <v>25</v>
      </c>
      <c r="E107" s="224" t="s">
        <v>44</v>
      </c>
      <c r="F107" s="165">
        <v>16.52</v>
      </c>
      <c r="G107" s="152">
        <f t="shared" si="33"/>
        <v>21.097692</v>
      </c>
      <c r="H107" s="152">
        <f t="shared" si="34"/>
        <v>527.4422999999999</v>
      </c>
    </row>
    <row r="108" spans="1:8" s="9" customFormat="1" ht="15">
      <c r="A108" s="154" t="s">
        <v>72</v>
      </c>
      <c r="B108" s="210" t="s">
        <v>115</v>
      </c>
      <c r="C108" s="167" t="s">
        <v>116</v>
      </c>
      <c r="D108" s="164">
        <v>5</v>
      </c>
      <c r="E108" s="224" t="s">
        <v>44</v>
      </c>
      <c r="F108" s="165">
        <v>14.35</v>
      </c>
      <c r="G108" s="152">
        <f t="shared" si="33"/>
        <v>18.326385</v>
      </c>
      <c r="H108" s="152">
        <f t="shared" si="34"/>
        <v>91.631925</v>
      </c>
    </row>
    <row r="109" spans="1:8" s="9" customFormat="1" ht="15">
      <c r="A109" s="154" t="s">
        <v>73</v>
      </c>
      <c r="B109" s="210" t="s">
        <v>117</v>
      </c>
      <c r="C109" s="167" t="s">
        <v>486</v>
      </c>
      <c r="D109" s="164">
        <v>91</v>
      </c>
      <c r="E109" s="224" t="s">
        <v>44</v>
      </c>
      <c r="F109" s="165">
        <v>14.1</v>
      </c>
      <c r="G109" s="152">
        <f t="shared" si="33"/>
        <v>18.007109999999997</v>
      </c>
      <c r="H109" s="152">
        <f t="shared" si="34"/>
        <v>1638.6470099999997</v>
      </c>
    </row>
    <row r="110" spans="1:8" s="9" customFormat="1" ht="37.5">
      <c r="A110" s="154" t="s">
        <v>74</v>
      </c>
      <c r="B110" s="148" t="s">
        <v>118</v>
      </c>
      <c r="C110" s="149" t="s">
        <v>126</v>
      </c>
      <c r="D110" s="164">
        <v>2</v>
      </c>
      <c r="E110" s="224" t="s">
        <v>44</v>
      </c>
      <c r="F110" s="165">
        <v>108.65</v>
      </c>
      <c r="G110" s="152">
        <f t="shared" si="33"/>
        <v>138.756915</v>
      </c>
      <c r="H110" s="152">
        <f t="shared" si="34"/>
        <v>277.51383</v>
      </c>
    </row>
    <row r="111" spans="1:8" s="9" customFormat="1" ht="37.5">
      <c r="A111" s="154" t="s">
        <v>75</v>
      </c>
      <c r="B111" s="148" t="s">
        <v>119</v>
      </c>
      <c r="C111" s="149" t="s">
        <v>487</v>
      </c>
      <c r="D111" s="164">
        <v>1</v>
      </c>
      <c r="E111" s="224" t="s">
        <v>44</v>
      </c>
      <c r="F111" s="165">
        <v>88.65</v>
      </c>
      <c r="G111" s="152">
        <f t="shared" si="33"/>
        <v>113.214915</v>
      </c>
      <c r="H111" s="152">
        <f t="shared" si="34"/>
        <v>113.214915</v>
      </c>
    </row>
    <row r="112" spans="1:8" s="9" customFormat="1" ht="37.5">
      <c r="A112" s="154" t="s">
        <v>76</v>
      </c>
      <c r="B112" s="148" t="s">
        <v>120</v>
      </c>
      <c r="C112" s="149" t="s">
        <v>488</v>
      </c>
      <c r="D112" s="164">
        <v>4</v>
      </c>
      <c r="E112" s="224" t="s">
        <v>44</v>
      </c>
      <c r="F112" s="165">
        <v>110.47</v>
      </c>
      <c r="G112" s="152">
        <f t="shared" si="33"/>
        <v>141.081237</v>
      </c>
      <c r="H112" s="152">
        <f t="shared" si="34"/>
        <v>564.324948</v>
      </c>
    </row>
    <row r="113" spans="1:8" s="9" customFormat="1" ht="37.5">
      <c r="A113" s="154" t="s">
        <v>77</v>
      </c>
      <c r="B113" s="148" t="s">
        <v>121</v>
      </c>
      <c r="C113" s="149" t="s">
        <v>489</v>
      </c>
      <c r="D113" s="164">
        <v>4</v>
      </c>
      <c r="E113" s="224" t="s">
        <v>44</v>
      </c>
      <c r="F113" s="165">
        <v>96.74</v>
      </c>
      <c r="G113" s="152">
        <f t="shared" si="33"/>
        <v>123.54665399999999</v>
      </c>
      <c r="H113" s="152">
        <f t="shared" si="34"/>
        <v>494.18661599999996</v>
      </c>
    </row>
    <row r="114" spans="1:8" s="9" customFormat="1" ht="37.5">
      <c r="A114" s="154" t="s">
        <v>346</v>
      </c>
      <c r="B114" s="148" t="s">
        <v>122</v>
      </c>
      <c r="C114" s="149" t="s">
        <v>490</v>
      </c>
      <c r="D114" s="164">
        <v>4</v>
      </c>
      <c r="E114" s="224" t="s">
        <v>44</v>
      </c>
      <c r="F114" s="165">
        <v>106.82</v>
      </c>
      <c r="G114" s="152">
        <f t="shared" si="33"/>
        <v>136.41982199999998</v>
      </c>
      <c r="H114" s="152">
        <f t="shared" si="34"/>
        <v>545.6792879999999</v>
      </c>
    </row>
    <row r="115" spans="1:8" s="9" customFormat="1" ht="37.5">
      <c r="A115" s="154" t="s">
        <v>347</v>
      </c>
      <c r="B115" s="148" t="s">
        <v>123</v>
      </c>
      <c r="C115" s="149" t="s">
        <v>491</v>
      </c>
      <c r="D115" s="164">
        <v>2</v>
      </c>
      <c r="E115" s="224" t="s">
        <v>44</v>
      </c>
      <c r="F115" s="165">
        <v>132.81</v>
      </c>
      <c r="G115" s="152">
        <f t="shared" si="33"/>
        <v>169.611651</v>
      </c>
      <c r="H115" s="152">
        <f t="shared" si="34"/>
        <v>339.223302</v>
      </c>
    </row>
    <row r="116" spans="1:8" s="9" customFormat="1" ht="37.5">
      <c r="A116" s="154" t="s">
        <v>348</v>
      </c>
      <c r="B116" s="148">
        <v>91926</v>
      </c>
      <c r="C116" s="149" t="s">
        <v>498</v>
      </c>
      <c r="D116" s="164">
        <v>4000</v>
      </c>
      <c r="E116" s="224" t="s">
        <v>33</v>
      </c>
      <c r="F116" s="165">
        <v>4.1</v>
      </c>
      <c r="G116" s="152">
        <f aca="true" t="shared" si="35" ref="G116:G140">F116*1.2771</f>
        <v>5.236109999999999</v>
      </c>
      <c r="H116" s="152">
        <f aca="true" t="shared" si="36" ref="H116:H140">D116*G116</f>
        <v>20944.439999999995</v>
      </c>
    </row>
    <row r="117" spans="1:8" s="9" customFormat="1" ht="37.5">
      <c r="A117" s="154" t="s">
        <v>349</v>
      </c>
      <c r="B117" s="148">
        <v>91928</v>
      </c>
      <c r="C117" s="149" t="s">
        <v>499</v>
      </c>
      <c r="D117" s="164">
        <v>950</v>
      </c>
      <c r="E117" s="224" t="s">
        <v>33</v>
      </c>
      <c r="F117" s="165">
        <v>6.79</v>
      </c>
      <c r="G117" s="152">
        <f t="shared" si="35"/>
        <v>8.671508999999999</v>
      </c>
      <c r="H117" s="152">
        <f t="shared" si="36"/>
        <v>8237.933549999998</v>
      </c>
    </row>
    <row r="118" spans="1:8" s="9" customFormat="1" ht="37.5">
      <c r="A118" s="154" t="s">
        <v>350</v>
      </c>
      <c r="B118" s="148">
        <v>91930</v>
      </c>
      <c r="C118" s="149" t="s">
        <v>500</v>
      </c>
      <c r="D118" s="164">
        <v>550</v>
      </c>
      <c r="E118" s="224" t="s">
        <v>33</v>
      </c>
      <c r="F118" s="165">
        <v>9.32</v>
      </c>
      <c r="G118" s="152">
        <f t="shared" si="35"/>
        <v>11.902572</v>
      </c>
      <c r="H118" s="152">
        <f t="shared" si="36"/>
        <v>6546.414599999999</v>
      </c>
    </row>
    <row r="119" spans="1:8" s="9" customFormat="1" ht="37.5">
      <c r="A119" s="154" t="s">
        <v>351</v>
      </c>
      <c r="B119" s="148">
        <v>91935</v>
      </c>
      <c r="C119" s="149" t="s">
        <v>501</v>
      </c>
      <c r="D119" s="164">
        <v>680</v>
      </c>
      <c r="E119" s="224" t="s">
        <v>33</v>
      </c>
      <c r="F119" s="165">
        <v>25.28</v>
      </c>
      <c r="G119" s="152">
        <f t="shared" si="35"/>
        <v>32.285088</v>
      </c>
      <c r="H119" s="152">
        <f t="shared" si="36"/>
        <v>21953.85984</v>
      </c>
    </row>
    <row r="120" spans="1:8" s="9" customFormat="1" ht="37.5">
      <c r="A120" s="154" t="s">
        <v>352</v>
      </c>
      <c r="B120" s="148">
        <v>92984</v>
      </c>
      <c r="C120" s="149" t="s">
        <v>502</v>
      </c>
      <c r="D120" s="164">
        <v>420</v>
      </c>
      <c r="E120" s="224" t="s">
        <v>33</v>
      </c>
      <c r="F120" s="165">
        <v>29.19</v>
      </c>
      <c r="G120" s="152">
        <f t="shared" si="35"/>
        <v>37.278549</v>
      </c>
      <c r="H120" s="152">
        <f t="shared" si="36"/>
        <v>15656.99058</v>
      </c>
    </row>
    <row r="121" spans="1:8" s="9" customFormat="1" ht="37.5">
      <c r="A121" s="154" t="s">
        <v>353</v>
      </c>
      <c r="B121" s="148">
        <v>93654</v>
      </c>
      <c r="C121" s="149" t="s">
        <v>503</v>
      </c>
      <c r="D121" s="164">
        <v>1</v>
      </c>
      <c r="E121" s="224" t="s">
        <v>44</v>
      </c>
      <c r="F121" s="165">
        <v>12.21</v>
      </c>
      <c r="G121" s="152">
        <f t="shared" si="35"/>
        <v>15.593391</v>
      </c>
      <c r="H121" s="152">
        <f t="shared" si="36"/>
        <v>15.593391</v>
      </c>
    </row>
    <row r="122" spans="1:8" s="9" customFormat="1" ht="37.5">
      <c r="A122" s="154" t="s">
        <v>354</v>
      </c>
      <c r="B122" s="148">
        <v>93655</v>
      </c>
      <c r="C122" s="149" t="s">
        <v>504</v>
      </c>
      <c r="D122" s="164">
        <v>11</v>
      </c>
      <c r="E122" s="224" t="s">
        <v>44</v>
      </c>
      <c r="F122" s="165">
        <v>13.29</v>
      </c>
      <c r="G122" s="152">
        <f t="shared" si="35"/>
        <v>16.972658999999997</v>
      </c>
      <c r="H122" s="152">
        <f t="shared" si="36"/>
        <v>186.69924899999995</v>
      </c>
    </row>
    <row r="123" spans="1:8" s="9" customFormat="1" ht="37.5">
      <c r="A123" s="154" t="s">
        <v>355</v>
      </c>
      <c r="B123" s="148">
        <v>93656</v>
      </c>
      <c r="C123" s="149" t="s">
        <v>505</v>
      </c>
      <c r="D123" s="164">
        <v>10</v>
      </c>
      <c r="E123" s="224" t="s">
        <v>44</v>
      </c>
      <c r="F123" s="165">
        <v>13.29</v>
      </c>
      <c r="G123" s="152">
        <f t="shared" si="35"/>
        <v>16.972658999999997</v>
      </c>
      <c r="H123" s="152">
        <f t="shared" si="36"/>
        <v>169.72658999999996</v>
      </c>
    </row>
    <row r="124" spans="1:8" s="9" customFormat="1" ht="37.5">
      <c r="A124" s="154" t="s">
        <v>356</v>
      </c>
      <c r="B124" s="148">
        <v>93657</v>
      </c>
      <c r="C124" s="149" t="s">
        <v>506</v>
      </c>
      <c r="D124" s="164">
        <v>1</v>
      </c>
      <c r="E124" s="224" t="s">
        <v>44</v>
      </c>
      <c r="F124" s="165">
        <v>14.57</v>
      </c>
      <c r="G124" s="152">
        <f t="shared" si="35"/>
        <v>18.607346999999997</v>
      </c>
      <c r="H124" s="152">
        <f t="shared" si="36"/>
        <v>18.607346999999997</v>
      </c>
    </row>
    <row r="125" spans="1:8" s="9" customFormat="1" ht="15">
      <c r="A125" s="154" t="s">
        <v>357</v>
      </c>
      <c r="B125" s="148" t="s">
        <v>507</v>
      </c>
      <c r="C125" s="149" t="s">
        <v>508</v>
      </c>
      <c r="D125" s="164">
        <v>2</v>
      </c>
      <c r="E125" s="224" t="s">
        <v>44</v>
      </c>
      <c r="F125" s="165">
        <v>43.02</v>
      </c>
      <c r="G125" s="152">
        <f t="shared" si="35"/>
        <v>54.940841999999996</v>
      </c>
      <c r="H125" s="152">
        <f t="shared" si="36"/>
        <v>109.88168399999999</v>
      </c>
    </row>
    <row r="126" spans="1:8" s="9" customFormat="1" ht="15">
      <c r="A126" s="154" t="s">
        <v>358</v>
      </c>
      <c r="B126" s="148">
        <v>93672</v>
      </c>
      <c r="C126" s="149" t="s">
        <v>509</v>
      </c>
      <c r="D126" s="164">
        <v>2</v>
      </c>
      <c r="E126" s="224" t="s">
        <v>44</v>
      </c>
      <c r="F126" s="165">
        <v>86.7</v>
      </c>
      <c r="G126" s="152">
        <f t="shared" si="35"/>
        <v>110.72457</v>
      </c>
      <c r="H126" s="152">
        <f t="shared" si="36"/>
        <v>221.44914</v>
      </c>
    </row>
    <row r="127" spans="1:8" s="9" customFormat="1" ht="15">
      <c r="A127" s="154" t="s">
        <v>359</v>
      </c>
      <c r="B127" s="148">
        <v>101894</v>
      </c>
      <c r="C127" s="149" t="s">
        <v>510</v>
      </c>
      <c r="D127" s="164">
        <v>2</v>
      </c>
      <c r="E127" s="224" t="s">
        <v>44</v>
      </c>
      <c r="F127" s="165">
        <v>153.79</v>
      </c>
      <c r="G127" s="152">
        <f t="shared" si="35"/>
        <v>196.40520899999999</v>
      </c>
      <c r="H127" s="152">
        <f t="shared" si="36"/>
        <v>392.81041799999997</v>
      </c>
    </row>
    <row r="128" spans="1:8" s="9" customFormat="1" ht="15">
      <c r="A128" s="154" t="s">
        <v>360</v>
      </c>
      <c r="B128" s="148" t="s">
        <v>125</v>
      </c>
      <c r="C128" s="149" t="s">
        <v>511</v>
      </c>
      <c r="D128" s="164">
        <v>16</v>
      </c>
      <c r="E128" s="224" t="s">
        <v>44</v>
      </c>
      <c r="F128" s="165">
        <v>172.18</v>
      </c>
      <c r="G128" s="152">
        <f t="shared" si="35"/>
        <v>219.891078</v>
      </c>
      <c r="H128" s="152">
        <f t="shared" si="36"/>
        <v>3518.257248</v>
      </c>
    </row>
    <row r="129" spans="1:8" s="9" customFormat="1" ht="15">
      <c r="A129" s="154" t="s">
        <v>361</v>
      </c>
      <c r="B129" s="148" t="s">
        <v>127</v>
      </c>
      <c r="C129" s="149" t="s">
        <v>512</v>
      </c>
      <c r="D129" s="164">
        <v>1</v>
      </c>
      <c r="E129" s="224" t="s">
        <v>44</v>
      </c>
      <c r="F129" s="165">
        <v>186.79</v>
      </c>
      <c r="G129" s="152">
        <f t="shared" si="35"/>
        <v>238.54950899999997</v>
      </c>
      <c r="H129" s="152">
        <f t="shared" si="36"/>
        <v>238.54950899999997</v>
      </c>
    </row>
    <row r="130" spans="1:8" s="9" customFormat="1" ht="37.5">
      <c r="A130" s="154" t="s">
        <v>362</v>
      </c>
      <c r="B130" s="148">
        <v>91953</v>
      </c>
      <c r="C130" s="149" t="s">
        <v>513</v>
      </c>
      <c r="D130" s="164">
        <v>14</v>
      </c>
      <c r="E130" s="224" t="s">
        <v>44</v>
      </c>
      <c r="F130" s="165">
        <v>23.65</v>
      </c>
      <c r="G130" s="152">
        <f t="shared" si="35"/>
        <v>30.203414999999996</v>
      </c>
      <c r="H130" s="152">
        <f t="shared" si="36"/>
        <v>422.8478099999999</v>
      </c>
    </row>
    <row r="131" spans="1:8" s="9" customFormat="1" ht="37.5">
      <c r="A131" s="154" t="s">
        <v>363</v>
      </c>
      <c r="B131" s="148">
        <v>91959</v>
      </c>
      <c r="C131" s="149" t="s">
        <v>514</v>
      </c>
      <c r="D131" s="164">
        <v>14</v>
      </c>
      <c r="E131" s="224" t="s">
        <v>44</v>
      </c>
      <c r="F131" s="165">
        <v>37.44</v>
      </c>
      <c r="G131" s="152">
        <f t="shared" si="35"/>
        <v>47.814623999999995</v>
      </c>
      <c r="H131" s="152">
        <f t="shared" si="36"/>
        <v>669.404736</v>
      </c>
    </row>
    <row r="132" spans="1:8" s="9" customFormat="1" ht="37.5">
      <c r="A132" s="154" t="s">
        <v>364</v>
      </c>
      <c r="B132" s="148">
        <v>91992</v>
      </c>
      <c r="C132" s="149" t="s">
        <v>515</v>
      </c>
      <c r="D132" s="164">
        <v>4</v>
      </c>
      <c r="E132" s="224" t="s">
        <v>44</v>
      </c>
      <c r="F132" s="165">
        <v>35.74</v>
      </c>
      <c r="G132" s="152">
        <f t="shared" si="35"/>
        <v>45.643554</v>
      </c>
      <c r="H132" s="152">
        <f t="shared" si="36"/>
        <v>182.574216</v>
      </c>
    </row>
    <row r="133" spans="1:8" s="9" customFormat="1" ht="37.5">
      <c r="A133" s="154" t="s">
        <v>365</v>
      </c>
      <c r="B133" s="148">
        <v>91996</v>
      </c>
      <c r="C133" s="149" t="s">
        <v>516</v>
      </c>
      <c r="D133" s="164">
        <v>63</v>
      </c>
      <c r="E133" s="224" t="s">
        <v>44</v>
      </c>
      <c r="F133" s="165">
        <v>28.02</v>
      </c>
      <c r="G133" s="152">
        <f t="shared" si="35"/>
        <v>35.784341999999995</v>
      </c>
      <c r="H133" s="152">
        <f t="shared" si="36"/>
        <v>2254.4135459999998</v>
      </c>
    </row>
    <row r="134" spans="1:8" s="9" customFormat="1" ht="37.5">
      <c r="A134" s="154" t="s">
        <v>366</v>
      </c>
      <c r="B134" s="148">
        <v>91997</v>
      </c>
      <c r="C134" s="149" t="s">
        <v>517</v>
      </c>
      <c r="D134" s="164">
        <v>40</v>
      </c>
      <c r="E134" s="224" t="s">
        <v>44</v>
      </c>
      <c r="F134" s="165">
        <v>30.25</v>
      </c>
      <c r="G134" s="152">
        <f t="shared" si="35"/>
        <v>38.632275</v>
      </c>
      <c r="H134" s="152">
        <f t="shared" si="36"/>
        <v>1545.291</v>
      </c>
    </row>
    <row r="135" spans="1:8" s="9" customFormat="1" ht="37.5">
      <c r="A135" s="154" t="s">
        <v>367</v>
      </c>
      <c r="B135" s="148">
        <v>92000</v>
      </c>
      <c r="C135" s="149" t="s">
        <v>518</v>
      </c>
      <c r="D135" s="164">
        <v>40</v>
      </c>
      <c r="E135" s="224" t="s">
        <v>44</v>
      </c>
      <c r="F135" s="165">
        <v>25.03</v>
      </c>
      <c r="G135" s="152">
        <f t="shared" si="35"/>
        <v>31.965813</v>
      </c>
      <c r="H135" s="152">
        <f t="shared" si="36"/>
        <v>1278.63252</v>
      </c>
    </row>
    <row r="136" spans="1:8" s="9" customFormat="1" ht="37.5">
      <c r="A136" s="154" t="s">
        <v>368</v>
      </c>
      <c r="B136" s="148" t="s">
        <v>519</v>
      </c>
      <c r="C136" s="149" t="s">
        <v>520</v>
      </c>
      <c r="D136" s="164">
        <v>55</v>
      </c>
      <c r="E136" s="224" t="s">
        <v>44</v>
      </c>
      <c r="F136" s="165">
        <v>273.86</v>
      </c>
      <c r="G136" s="152">
        <f t="shared" si="35"/>
        <v>349.746606</v>
      </c>
      <c r="H136" s="152">
        <f t="shared" si="36"/>
        <v>19236.06333</v>
      </c>
    </row>
    <row r="137" spans="1:8" s="9" customFormat="1" ht="37.5">
      <c r="A137" s="154" t="s">
        <v>369</v>
      </c>
      <c r="B137" s="148">
        <v>97599</v>
      </c>
      <c r="C137" s="149" t="s">
        <v>521</v>
      </c>
      <c r="D137" s="164">
        <v>9</v>
      </c>
      <c r="E137" s="224" t="s">
        <v>44</v>
      </c>
      <c r="F137" s="165">
        <v>27.85</v>
      </c>
      <c r="G137" s="152">
        <f t="shared" si="35"/>
        <v>35.567235</v>
      </c>
      <c r="H137" s="152">
        <f t="shared" si="36"/>
        <v>320.10511499999996</v>
      </c>
    </row>
    <row r="138" spans="1:8" s="9" customFormat="1" ht="15">
      <c r="A138" s="154" t="s">
        <v>370</v>
      </c>
      <c r="B138" s="148" t="s">
        <v>128</v>
      </c>
      <c r="C138" s="149" t="s">
        <v>522</v>
      </c>
      <c r="D138" s="164">
        <v>10</v>
      </c>
      <c r="E138" s="224" t="s">
        <v>44</v>
      </c>
      <c r="F138" s="165">
        <v>80.16</v>
      </c>
      <c r="G138" s="152">
        <f t="shared" si="35"/>
        <v>102.37233599999999</v>
      </c>
      <c r="H138" s="152">
        <f t="shared" si="36"/>
        <v>1023.72336</v>
      </c>
    </row>
    <row r="139" spans="1:8" s="9" customFormat="1" ht="15">
      <c r="A139" s="154" t="s">
        <v>371</v>
      </c>
      <c r="B139" s="148" t="s">
        <v>15</v>
      </c>
      <c r="C139" s="149" t="s">
        <v>523</v>
      </c>
      <c r="D139" s="164">
        <v>2</v>
      </c>
      <c r="E139" s="224" t="s">
        <v>44</v>
      </c>
      <c r="F139" s="165">
        <v>24427.29</v>
      </c>
      <c r="G139" s="152">
        <f t="shared" si="35"/>
        <v>31196.092059</v>
      </c>
      <c r="H139" s="152">
        <f t="shared" si="36"/>
        <v>62392.184118</v>
      </c>
    </row>
    <row r="140" spans="1:8" s="9" customFormat="1" ht="15">
      <c r="A140" s="154" t="s">
        <v>372</v>
      </c>
      <c r="B140" s="148" t="s">
        <v>524</v>
      </c>
      <c r="C140" s="149" t="s">
        <v>525</v>
      </c>
      <c r="D140" s="164">
        <v>2</v>
      </c>
      <c r="E140" s="224" t="s">
        <v>44</v>
      </c>
      <c r="F140" s="165">
        <v>159.77</v>
      </c>
      <c r="G140" s="152">
        <f t="shared" si="35"/>
        <v>204.042267</v>
      </c>
      <c r="H140" s="152">
        <f t="shared" si="36"/>
        <v>408.084534</v>
      </c>
    </row>
    <row r="141" spans="1:8" s="9" customFormat="1" ht="15">
      <c r="A141" s="157"/>
      <c r="B141" s="211"/>
      <c r="C141" s="242" t="s">
        <v>124</v>
      </c>
      <c r="D141" s="242"/>
      <c r="E141" s="242"/>
      <c r="F141" s="242"/>
      <c r="G141" s="242"/>
      <c r="H141" s="242"/>
    </row>
    <row r="142" spans="1:8" s="9" customFormat="1" ht="37.5">
      <c r="A142" s="154" t="s">
        <v>373</v>
      </c>
      <c r="B142" s="148" t="s">
        <v>113</v>
      </c>
      <c r="C142" s="149" t="s">
        <v>478</v>
      </c>
      <c r="D142" s="164">
        <v>70</v>
      </c>
      <c r="E142" s="224" t="s">
        <v>33</v>
      </c>
      <c r="F142" s="165">
        <v>95.06</v>
      </c>
      <c r="G142" s="152">
        <f aca="true" t="shared" si="37" ref="G142:G158">F142*1.2771</f>
        <v>121.40112599999999</v>
      </c>
      <c r="H142" s="152">
        <f aca="true" t="shared" si="38" ref="H142:H158">D142*G142</f>
        <v>8498.078819999999</v>
      </c>
    </row>
    <row r="143" spans="1:8" s="9" customFormat="1" ht="15">
      <c r="A143" s="154" t="s">
        <v>374</v>
      </c>
      <c r="B143" s="148" t="s">
        <v>115</v>
      </c>
      <c r="C143" s="149" t="s">
        <v>116</v>
      </c>
      <c r="D143" s="164">
        <v>16</v>
      </c>
      <c r="E143" s="224" t="s">
        <v>44</v>
      </c>
      <c r="F143" s="165">
        <v>14.35</v>
      </c>
      <c r="G143" s="152">
        <f aca="true" t="shared" si="39" ref="G143:G149">F143*1.2771</f>
        <v>18.326385</v>
      </c>
      <c r="H143" s="152">
        <f aca="true" t="shared" si="40" ref="H143:H149">D143*G143</f>
        <v>293.22216</v>
      </c>
    </row>
    <row r="144" spans="1:8" s="9" customFormat="1" ht="37.5">
      <c r="A144" s="154" t="s">
        <v>375</v>
      </c>
      <c r="B144" s="148" t="s">
        <v>118</v>
      </c>
      <c r="C144" s="149" t="s">
        <v>126</v>
      </c>
      <c r="D144" s="164">
        <v>2</v>
      </c>
      <c r="E144" s="224" t="s">
        <v>44</v>
      </c>
      <c r="F144" s="165">
        <v>108.65</v>
      </c>
      <c r="G144" s="152">
        <f t="shared" si="39"/>
        <v>138.756915</v>
      </c>
      <c r="H144" s="152">
        <f t="shared" si="40"/>
        <v>277.51383</v>
      </c>
    </row>
    <row r="145" spans="1:8" s="9" customFormat="1" ht="37.5">
      <c r="A145" s="154" t="s">
        <v>376</v>
      </c>
      <c r="B145" s="148" t="s">
        <v>119</v>
      </c>
      <c r="C145" s="149" t="s">
        <v>487</v>
      </c>
      <c r="D145" s="164">
        <v>3</v>
      </c>
      <c r="E145" s="224" t="s">
        <v>44</v>
      </c>
      <c r="F145" s="165">
        <v>88.65</v>
      </c>
      <c r="G145" s="152">
        <f t="shared" si="39"/>
        <v>113.214915</v>
      </c>
      <c r="H145" s="152">
        <f t="shared" si="40"/>
        <v>339.644745</v>
      </c>
    </row>
    <row r="146" spans="1:8" s="9" customFormat="1" ht="37.5">
      <c r="A146" s="154" t="s">
        <v>377</v>
      </c>
      <c r="B146" s="148" t="s">
        <v>526</v>
      </c>
      <c r="C146" s="149" t="s">
        <v>527</v>
      </c>
      <c r="D146" s="164">
        <v>2</v>
      </c>
      <c r="E146" s="224" t="s">
        <v>44</v>
      </c>
      <c r="F146" s="165">
        <v>93.65</v>
      </c>
      <c r="G146" s="152">
        <f t="shared" si="39"/>
        <v>119.600415</v>
      </c>
      <c r="H146" s="152">
        <f t="shared" si="40"/>
        <v>239.20083</v>
      </c>
    </row>
    <row r="147" spans="1:8" s="9" customFormat="1" ht="37.5">
      <c r="A147" s="154" t="s">
        <v>378</v>
      </c>
      <c r="B147" s="148">
        <v>91872</v>
      </c>
      <c r="C147" s="149" t="s">
        <v>481</v>
      </c>
      <c r="D147" s="164">
        <v>85</v>
      </c>
      <c r="E147" s="224" t="s">
        <v>33</v>
      </c>
      <c r="F147" s="165">
        <v>15.92</v>
      </c>
      <c r="G147" s="152">
        <f t="shared" si="39"/>
        <v>20.331432</v>
      </c>
      <c r="H147" s="152">
        <f t="shared" si="40"/>
        <v>1728.17172</v>
      </c>
    </row>
    <row r="148" spans="1:8" s="9" customFormat="1" ht="37.5">
      <c r="A148" s="154" t="s">
        <v>379</v>
      </c>
      <c r="B148" s="148">
        <v>91885</v>
      </c>
      <c r="C148" s="149" t="s">
        <v>483</v>
      </c>
      <c r="D148" s="164">
        <v>32</v>
      </c>
      <c r="E148" s="224" t="s">
        <v>44</v>
      </c>
      <c r="F148" s="165">
        <v>9.58</v>
      </c>
      <c r="G148" s="152">
        <f t="shared" si="39"/>
        <v>12.234618</v>
      </c>
      <c r="H148" s="152">
        <f t="shared" si="40"/>
        <v>391.507776</v>
      </c>
    </row>
    <row r="149" spans="1:8" s="9" customFormat="1" ht="37.5">
      <c r="A149" s="154" t="s">
        <v>380</v>
      </c>
      <c r="B149" s="148">
        <v>91917</v>
      </c>
      <c r="C149" s="149" t="s">
        <v>485</v>
      </c>
      <c r="D149" s="164">
        <v>16</v>
      </c>
      <c r="E149" s="224" t="s">
        <v>44</v>
      </c>
      <c r="F149" s="165">
        <v>16.52</v>
      </c>
      <c r="G149" s="152">
        <f t="shared" si="39"/>
        <v>21.097692</v>
      </c>
      <c r="H149" s="152">
        <f t="shared" si="40"/>
        <v>337.563072</v>
      </c>
    </row>
    <row r="150" spans="1:8" s="9" customFormat="1" ht="37.5">
      <c r="A150" s="154" t="s">
        <v>381</v>
      </c>
      <c r="B150" s="148">
        <v>91943</v>
      </c>
      <c r="C150" s="149" t="s">
        <v>475</v>
      </c>
      <c r="D150" s="164">
        <v>3</v>
      </c>
      <c r="E150" s="224" t="s">
        <v>44</v>
      </c>
      <c r="F150" s="165">
        <v>18.35</v>
      </c>
      <c r="G150" s="152">
        <f t="shared" si="37"/>
        <v>23.434785</v>
      </c>
      <c r="H150" s="152">
        <f t="shared" si="38"/>
        <v>70.304355</v>
      </c>
    </row>
    <row r="151" spans="1:8" s="9" customFormat="1" ht="37.5">
      <c r="A151" s="154" t="s">
        <v>382</v>
      </c>
      <c r="B151" s="148">
        <v>95809</v>
      </c>
      <c r="C151" s="149" t="s">
        <v>528</v>
      </c>
      <c r="D151" s="164">
        <v>1</v>
      </c>
      <c r="E151" s="224" t="s">
        <v>44</v>
      </c>
      <c r="F151" s="165">
        <v>32.31</v>
      </c>
      <c r="G151" s="152">
        <f t="shared" si="37"/>
        <v>41.263101</v>
      </c>
      <c r="H151" s="152">
        <f t="shared" si="38"/>
        <v>41.263101</v>
      </c>
    </row>
    <row r="152" spans="1:8" s="9" customFormat="1" ht="37.5">
      <c r="A152" s="154" t="s">
        <v>383</v>
      </c>
      <c r="B152" s="148">
        <v>91940</v>
      </c>
      <c r="C152" s="149" t="s">
        <v>472</v>
      </c>
      <c r="D152" s="164">
        <v>18</v>
      </c>
      <c r="E152" s="224" t="s">
        <v>44</v>
      </c>
      <c r="F152" s="165">
        <v>13.69</v>
      </c>
      <c r="G152" s="152">
        <f t="shared" si="37"/>
        <v>17.483499</v>
      </c>
      <c r="H152" s="152">
        <f t="shared" si="38"/>
        <v>314.70298199999996</v>
      </c>
    </row>
    <row r="153" spans="1:8" s="9" customFormat="1" ht="15">
      <c r="A153" s="154" t="s">
        <v>492</v>
      </c>
      <c r="B153" s="148" t="s">
        <v>131</v>
      </c>
      <c r="C153" s="149" t="s">
        <v>132</v>
      </c>
      <c r="D153" s="164">
        <v>130</v>
      </c>
      <c r="E153" s="224" t="s">
        <v>33</v>
      </c>
      <c r="F153" s="165">
        <v>10.83</v>
      </c>
      <c r="G153" s="152">
        <f t="shared" si="37"/>
        <v>13.830993</v>
      </c>
      <c r="H153" s="152">
        <f t="shared" si="38"/>
        <v>1798.02909</v>
      </c>
    </row>
    <row r="154" spans="1:8" s="9" customFormat="1" ht="15">
      <c r="A154" s="154" t="s">
        <v>493</v>
      </c>
      <c r="B154" s="148" t="s">
        <v>133</v>
      </c>
      <c r="C154" s="149" t="s">
        <v>134</v>
      </c>
      <c r="D154" s="164">
        <v>2</v>
      </c>
      <c r="E154" s="224" t="s">
        <v>80</v>
      </c>
      <c r="F154" s="165">
        <v>109.13</v>
      </c>
      <c r="G154" s="152">
        <f t="shared" si="37"/>
        <v>139.36992299999997</v>
      </c>
      <c r="H154" s="152">
        <f t="shared" si="38"/>
        <v>278.73984599999994</v>
      </c>
    </row>
    <row r="155" spans="1:8" s="9" customFormat="1" ht="15">
      <c r="A155" s="154" t="s">
        <v>494</v>
      </c>
      <c r="B155" s="148" t="s">
        <v>129</v>
      </c>
      <c r="C155" s="149" t="s">
        <v>130</v>
      </c>
      <c r="D155" s="212">
        <v>1</v>
      </c>
      <c r="E155" s="213" t="s">
        <v>44</v>
      </c>
      <c r="F155" s="165">
        <v>510</v>
      </c>
      <c r="G155" s="152">
        <f t="shared" si="37"/>
        <v>651.3209999999999</v>
      </c>
      <c r="H155" s="152">
        <f t="shared" si="38"/>
        <v>651.3209999999999</v>
      </c>
    </row>
    <row r="156" spans="1:364" s="12" customFormat="1" ht="15">
      <c r="A156" s="154" t="s">
        <v>495</v>
      </c>
      <c r="B156" s="148">
        <v>98302</v>
      </c>
      <c r="C156" s="149" t="s">
        <v>529</v>
      </c>
      <c r="D156" s="164">
        <v>2</v>
      </c>
      <c r="E156" s="224" t="s">
        <v>44</v>
      </c>
      <c r="F156" s="165">
        <v>732.53</v>
      </c>
      <c r="G156" s="152">
        <f t="shared" si="37"/>
        <v>935.5140629999999</v>
      </c>
      <c r="H156" s="152">
        <f t="shared" si="38"/>
        <v>1871.0281259999997</v>
      </c>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c r="DL156" s="8"/>
      <c r="DM156" s="8"/>
      <c r="DN156" s="8"/>
      <c r="DO156" s="8"/>
      <c r="DP156" s="8"/>
      <c r="DQ156" s="8"/>
      <c r="DR156" s="8"/>
      <c r="DS156" s="8"/>
      <c r="DT156" s="8"/>
      <c r="DU156" s="8"/>
      <c r="DV156" s="8"/>
      <c r="DW156" s="8"/>
      <c r="DX156" s="8"/>
      <c r="DY156" s="8"/>
      <c r="DZ156" s="8"/>
      <c r="EA156" s="8"/>
      <c r="EB156" s="8"/>
      <c r="EC156" s="8"/>
      <c r="ED156" s="8"/>
      <c r="EE156" s="8"/>
      <c r="EF156" s="8"/>
      <c r="EG156" s="8"/>
      <c r="EH156" s="8"/>
      <c r="EI156" s="8"/>
      <c r="EJ156" s="8"/>
      <c r="EK156" s="8"/>
      <c r="EL156" s="8"/>
      <c r="EM156" s="8"/>
      <c r="EN156" s="8"/>
      <c r="EO156" s="8"/>
      <c r="EP156" s="8"/>
      <c r="EQ156" s="8"/>
      <c r="ER156" s="8"/>
      <c r="ES156" s="8"/>
      <c r="ET156" s="8"/>
      <c r="EU156" s="8"/>
      <c r="EV156" s="8"/>
      <c r="EW156" s="8"/>
      <c r="EX156" s="8"/>
      <c r="EY156" s="8"/>
      <c r="EZ156" s="8"/>
      <c r="FA156" s="8"/>
      <c r="FB156" s="8"/>
      <c r="FC156" s="8"/>
      <c r="FD156" s="8"/>
      <c r="FE156" s="8"/>
      <c r="FF156" s="8"/>
      <c r="FG156" s="8"/>
      <c r="FH156" s="8"/>
      <c r="FI156" s="8"/>
      <c r="FJ156" s="8"/>
      <c r="FK156" s="8"/>
      <c r="FL156" s="8"/>
      <c r="FM156" s="8"/>
      <c r="FN156" s="8"/>
      <c r="FO156" s="8"/>
      <c r="FP156" s="8"/>
      <c r="FQ156" s="8"/>
      <c r="FR156" s="8"/>
      <c r="FS156" s="8"/>
      <c r="FT156" s="8"/>
      <c r="FU156" s="8"/>
      <c r="FV156" s="8"/>
      <c r="FW156" s="8"/>
      <c r="FX156" s="8"/>
      <c r="FY156" s="8"/>
      <c r="FZ156" s="8"/>
      <c r="GA156" s="8"/>
      <c r="GB156" s="8"/>
      <c r="GC156" s="8"/>
      <c r="GD156" s="8"/>
      <c r="GE156" s="8"/>
      <c r="GF156" s="8"/>
      <c r="GG156" s="8"/>
      <c r="GH156" s="8"/>
      <c r="GI156" s="8"/>
      <c r="GJ156" s="8"/>
      <c r="GK156" s="8"/>
      <c r="GL156" s="8"/>
      <c r="GM156" s="8"/>
      <c r="GN156" s="8"/>
      <c r="GO156" s="8"/>
      <c r="GP156" s="8"/>
      <c r="GQ156" s="8"/>
      <c r="GR156" s="8"/>
      <c r="GS156" s="8"/>
      <c r="GT156" s="8"/>
      <c r="GU156" s="8"/>
      <c r="GV156" s="8"/>
      <c r="GW156" s="8"/>
      <c r="GX156" s="8"/>
      <c r="GY156" s="8"/>
      <c r="GZ156" s="8"/>
      <c r="HA156" s="8"/>
      <c r="HB156" s="8"/>
      <c r="HC156" s="8"/>
      <c r="HD156" s="8"/>
      <c r="HE156" s="8"/>
      <c r="HF156" s="8"/>
      <c r="HG156" s="8"/>
      <c r="HH156" s="8"/>
      <c r="HI156" s="8"/>
      <c r="HJ156" s="8"/>
      <c r="HK156" s="8"/>
      <c r="HL156" s="8"/>
      <c r="HM156" s="8"/>
      <c r="HN156" s="8"/>
      <c r="HO156" s="8"/>
      <c r="HP156" s="8"/>
      <c r="HQ156" s="8"/>
      <c r="HR156" s="8"/>
      <c r="HS156" s="8"/>
      <c r="HT156" s="8"/>
      <c r="HU156" s="8"/>
      <c r="HV156" s="8"/>
      <c r="HW156" s="8"/>
      <c r="HX156" s="8"/>
      <c r="HY156" s="8"/>
      <c r="HZ156" s="8"/>
      <c r="IA156" s="8"/>
      <c r="IB156" s="8"/>
      <c r="IC156" s="8"/>
      <c r="ID156" s="8"/>
      <c r="IE156" s="8"/>
      <c r="IF156" s="8"/>
      <c r="IG156" s="8"/>
      <c r="IH156" s="8"/>
      <c r="II156" s="8"/>
      <c r="IJ156" s="8"/>
      <c r="IK156" s="8"/>
      <c r="IL156" s="8"/>
      <c r="IM156" s="8"/>
      <c r="IN156" s="8"/>
      <c r="IO156" s="8"/>
      <c r="IP156" s="8"/>
      <c r="IQ156" s="8"/>
      <c r="IR156" s="8"/>
      <c r="IS156" s="8"/>
      <c r="IT156" s="8"/>
      <c r="IU156" s="8"/>
      <c r="IV156" s="8"/>
      <c r="IW156" s="8"/>
      <c r="IX156" s="8"/>
      <c r="IY156" s="8"/>
      <c r="IZ156" s="8"/>
      <c r="JA156" s="8"/>
      <c r="JB156" s="8"/>
      <c r="JC156" s="8"/>
      <c r="JD156" s="8"/>
      <c r="JE156" s="8"/>
      <c r="JF156" s="8"/>
      <c r="JG156" s="8"/>
      <c r="JH156" s="8"/>
      <c r="JI156" s="8"/>
      <c r="JJ156" s="8"/>
      <c r="JK156" s="8"/>
      <c r="JL156" s="8"/>
      <c r="JM156" s="8"/>
      <c r="JN156" s="8"/>
      <c r="JO156" s="8"/>
      <c r="JP156" s="8"/>
      <c r="JQ156" s="8"/>
      <c r="JR156" s="8"/>
      <c r="JS156" s="8"/>
      <c r="JT156" s="8"/>
      <c r="JU156" s="8"/>
      <c r="JV156" s="8"/>
      <c r="JW156" s="8"/>
      <c r="JX156" s="8"/>
      <c r="JY156" s="8"/>
      <c r="JZ156" s="8"/>
      <c r="KA156" s="8"/>
      <c r="KB156" s="8"/>
      <c r="KC156" s="8"/>
      <c r="KD156" s="8"/>
      <c r="KE156" s="8"/>
      <c r="KF156" s="8"/>
      <c r="KG156" s="8"/>
      <c r="KH156" s="8"/>
      <c r="KI156" s="8"/>
      <c r="KJ156" s="8"/>
      <c r="KK156" s="8"/>
      <c r="KL156" s="8"/>
      <c r="KM156" s="8"/>
      <c r="KN156" s="8"/>
      <c r="KO156" s="8"/>
      <c r="KP156" s="8"/>
      <c r="KQ156" s="8"/>
      <c r="KR156" s="8"/>
      <c r="KS156" s="8"/>
      <c r="KT156" s="8"/>
      <c r="KU156" s="8"/>
      <c r="KV156" s="8"/>
      <c r="KW156" s="8"/>
      <c r="KX156" s="8"/>
      <c r="KY156" s="8"/>
      <c r="KZ156" s="8"/>
      <c r="LA156" s="8"/>
      <c r="LB156" s="8"/>
      <c r="LC156" s="8"/>
      <c r="LD156" s="8"/>
      <c r="LE156" s="8"/>
      <c r="LF156" s="8"/>
      <c r="LG156" s="8"/>
      <c r="LH156" s="8"/>
      <c r="LI156" s="8"/>
      <c r="LJ156" s="8"/>
      <c r="LK156" s="8"/>
      <c r="LL156" s="8"/>
      <c r="LM156" s="8"/>
      <c r="LN156" s="8"/>
      <c r="LO156" s="8"/>
      <c r="LP156" s="8"/>
      <c r="LQ156" s="8"/>
      <c r="LR156" s="8"/>
      <c r="LS156" s="8"/>
      <c r="LT156" s="8"/>
      <c r="LU156" s="8"/>
      <c r="LV156" s="8"/>
      <c r="LW156" s="8"/>
      <c r="LX156" s="8"/>
      <c r="LY156" s="8"/>
      <c r="LZ156" s="8"/>
      <c r="MA156" s="8"/>
      <c r="MB156" s="8"/>
      <c r="MC156" s="8"/>
      <c r="MD156" s="8"/>
      <c r="ME156" s="8"/>
      <c r="MF156" s="8"/>
      <c r="MG156" s="8"/>
      <c r="MH156" s="8"/>
      <c r="MI156" s="8"/>
      <c r="MJ156" s="8"/>
      <c r="MK156" s="8"/>
      <c r="ML156" s="8"/>
      <c r="MM156" s="8"/>
      <c r="MN156" s="8"/>
      <c r="MO156" s="8"/>
      <c r="MP156" s="8"/>
      <c r="MQ156" s="8"/>
      <c r="MR156" s="8"/>
      <c r="MS156" s="8"/>
      <c r="MT156" s="8"/>
      <c r="MU156" s="8"/>
      <c r="MV156" s="8"/>
      <c r="MW156" s="8"/>
      <c r="MX156" s="8"/>
      <c r="MY156" s="8"/>
      <c r="MZ156" s="8"/>
    </row>
    <row r="157" spans="1:364" s="12" customFormat="1" ht="15">
      <c r="A157" s="154" t="s">
        <v>496</v>
      </c>
      <c r="B157" s="148">
        <v>98307</v>
      </c>
      <c r="C157" s="149" t="s">
        <v>530</v>
      </c>
      <c r="D157" s="164">
        <v>36</v>
      </c>
      <c r="E157" s="224" t="s">
        <v>44</v>
      </c>
      <c r="F157" s="214">
        <v>47.31</v>
      </c>
      <c r="G157" s="152">
        <f t="shared" si="37"/>
        <v>60.419601</v>
      </c>
      <c r="H157" s="152">
        <f t="shared" si="38"/>
        <v>2175.1056360000002</v>
      </c>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c r="DL157" s="8"/>
      <c r="DM157" s="8"/>
      <c r="DN157" s="8"/>
      <c r="DO157" s="8"/>
      <c r="DP157" s="8"/>
      <c r="DQ157" s="8"/>
      <c r="DR157" s="8"/>
      <c r="DS157" s="8"/>
      <c r="DT157" s="8"/>
      <c r="DU157" s="8"/>
      <c r="DV157" s="8"/>
      <c r="DW157" s="8"/>
      <c r="DX157" s="8"/>
      <c r="DY157" s="8"/>
      <c r="DZ157" s="8"/>
      <c r="EA157" s="8"/>
      <c r="EB157" s="8"/>
      <c r="EC157" s="8"/>
      <c r="ED157" s="8"/>
      <c r="EE157" s="8"/>
      <c r="EF157" s="8"/>
      <c r="EG157" s="8"/>
      <c r="EH157" s="8"/>
      <c r="EI157" s="8"/>
      <c r="EJ157" s="8"/>
      <c r="EK157" s="8"/>
      <c r="EL157" s="8"/>
      <c r="EM157" s="8"/>
      <c r="EN157" s="8"/>
      <c r="EO157" s="8"/>
      <c r="EP157" s="8"/>
      <c r="EQ157" s="8"/>
      <c r="ER157" s="8"/>
      <c r="ES157" s="8"/>
      <c r="ET157" s="8"/>
      <c r="EU157" s="8"/>
      <c r="EV157" s="8"/>
      <c r="EW157" s="8"/>
      <c r="EX157" s="8"/>
      <c r="EY157" s="8"/>
      <c r="EZ157" s="8"/>
      <c r="FA157" s="8"/>
      <c r="FB157" s="8"/>
      <c r="FC157" s="8"/>
      <c r="FD157" s="8"/>
      <c r="FE157" s="8"/>
      <c r="FF157" s="8"/>
      <c r="FG157" s="8"/>
      <c r="FH157" s="8"/>
      <c r="FI157" s="8"/>
      <c r="FJ157" s="8"/>
      <c r="FK157" s="8"/>
      <c r="FL157" s="8"/>
      <c r="FM157" s="8"/>
      <c r="FN157" s="8"/>
      <c r="FO157" s="8"/>
      <c r="FP157" s="8"/>
      <c r="FQ157" s="8"/>
      <c r="FR157" s="8"/>
      <c r="FS157" s="8"/>
      <c r="FT157" s="8"/>
      <c r="FU157" s="8"/>
      <c r="FV157" s="8"/>
      <c r="FW157" s="8"/>
      <c r="FX157" s="8"/>
      <c r="FY157" s="8"/>
      <c r="FZ157" s="8"/>
      <c r="GA157" s="8"/>
      <c r="GB157" s="8"/>
      <c r="GC157" s="8"/>
      <c r="GD157" s="8"/>
      <c r="GE157" s="8"/>
      <c r="GF157" s="8"/>
      <c r="GG157" s="8"/>
      <c r="GH157" s="8"/>
      <c r="GI157" s="8"/>
      <c r="GJ157" s="8"/>
      <c r="GK157" s="8"/>
      <c r="GL157" s="8"/>
      <c r="GM157" s="8"/>
      <c r="GN157" s="8"/>
      <c r="GO157" s="8"/>
      <c r="GP157" s="8"/>
      <c r="GQ157" s="8"/>
      <c r="GR157" s="8"/>
      <c r="GS157" s="8"/>
      <c r="GT157" s="8"/>
      <c r="GU157" s="8"/>
      <c r="GV157" s="8"/>
      <c r="GW157" s="8"/>
      <c r="GX157" s="8"/>
      <c r="GY157" s="8"/>
      <c r="GZ157" s="8"/>
      <c r="HA157" s="8"/>
      <c r="HB157" s="8"/>
      <c r="HC157" s="8"/>
      <c r="HD157" s="8"/>
      <c r="HE157" s="8"/>
      <c r="HF157" s="8"/>
      <c r="HG157" s="8"/>
      <c r="HH157" s="8"/>
      <c r="HI157" s="8"/>
      <c r="HJ157" s="8"/>
      <c r="HK157" s="8"/>
      <c r="HL157" s="8"/>
      <c r="HM157" s="8"/>
      <c r="HN157" s="8"/>
      <c r="HO157" s="8"/>
      <c r="HP157" s="8"/>
      <c r="HQ157" s="8"/>
      <c r="HR157" s="8"/>
      <c r="HS157" s="8"/>
      <c r="HT157" s="8"/>
      <c r="HU157" s="8"/>
      <c r="HV157" s="8"/>
      <c r="HW157" s="8"/>
      <c r="HX157" s="8"/>
      <c r="HY157" s="8"/>
      <c r="HZ157" s="8"/>
      <c r="IA157" s="8"/>
      <c r="IB157" s="8"/>
      <c r="IC157" s="8"/>
      <c r="ID157" s="8"/>
      <c r="IE157" s="8"/>
      <c r="IF157" s="8"/>
      <c r="IG157" s="8"/>
      <c r="IH157" s="8"/>
      <c r="II157" s="8"/>
      <c r="IJ157" s="8"/>
      <c r="IK157" s="8"/>
      <c r="IL157" s="8"/>
      <c r="IM157" s="8"/>
      <c r="IN157" s="8"/>
      <c r="IO157" s="8"/>
      <c r="IP157" s="8"/>
      <c r="IQ157" s="8"/>
      <c r="IR157" s="8"/>
      <c r="IS157" s="8"/>
      <c r="IT157" s="8"/>
      <c r="IU157" s="8"/>
      <c r="IV157" s="8"/>
      <c r="IW157" s="8"/>
      <c r="IX157" s="8"/>
      <c r="IY157" s="8"/>
      <c r="IZ157" s="8"/>
      <c r="JA157" s="8"/>
      <c r="JB157" s="8"/>
      <c r="JC157" s="8"/>
      <c r="JD157" s="8"/>
      <c r="JE157" s="8"/>
      <c r="JF157" s="8"/>
      <c r="JG157" s="8"/>
      <c r="JH157" s="8"/>
      <c r="JI157" s="8"/>
      <c r="JJ157" s="8"/>
      <c r="JK157" s="8"/>
      <c r="JL157" s="8"/>
      <c r="JM157" s="8"/>
      <c r="JN157" s="8"/>
      <c r="JO157" s="8"/>
      <c r="JP157" s="8"/>
      <c r="JQ157" s="8"/>
      <c r="JR157" s="8"/>
      <c r="JS157" s="8"/>
      <c r="JT157" s="8"/>
      <c r="JU157" s="8"/>
      <c r="JV157" s="8"/>
      <c r="JW157" s="8"/>
      <c r="JX157" s="8"/>
      <c r="JY157" s="8"/>
      <c r="JZ157" s="8"/>
      <c r="KA157" s="8"/>
      <c r="KB157" s="8"/>
      <c r="KC157" s="8"/>
      <c r="KD157" s="8"/>
      <c r="KE157" s="8"/>
      <c r="KF157" s="8"/>
      <c r="KG157" s="8"/>
      <c r="KH157" s="8"/>
      <c r="KI157" s="8"/>
      <c r="KJ157" s="8"/>
      <c r="KK157" s="8"/>
      <c r="KL157" s="8"/>
      <c r="KM157" s="8"/>
      <c r="KN157" s="8"/>
      <c r="KO157" s="8"/>
      <c r="KP157" s="8"/>
      <c r="KQ157" s="8"/>
      <c r="KR157" s="8"/>
      <c r="KS157" s="8"/>
      <c r="KT157" s="8"/>
      <c r="KU157" s="8"/>
      <c r="KV157" s="8"/>
      <c r="KW157" s="8"/>
      <c r="KX157" s="8"/>
      <c r="KY157" s="8"/>
      <c r="KZ157" s="8"/>
      <c r="LA157" s="8"/>
      <c r="LB157" s="8"/>
      <c r="LC157" s="8"/>
      <c r="LD157" s="8"/>
      <c r="LE157" s="8"/>
      <c r="LF157" s="8"/>
      <c r="LG157" s="8"/>
      <c r="LH157" s="8"/>
      <c r="LI157" s="8"/>
      <c r="LJ157" s="8"/>
      <c r="LK157" s="8"/>
      <c r="LL157" s="8"/>
      <c r="LM157" s="8"/>
      <c r="LN157" s="8"/>
      <c r="LO157" s="8"/>
      <c r="LP157" s="8"/>
      <c r="LQ157" s="8"/>
      <c r="LR157" s="8"/>
      <c r="LS157" s="8"/>
      <c r="LT157" s="8"/>
      <c r="LU157" s="8"/>
      <c r="LV157" s="8"/>
      <c r="LW157" s="8"/>
      <c r="LX157" s="8"/>
      <c r="LY157" s="8"/>
      <c r="LZ157" s="8"/>
      <c r="MA157" s="8"/>
      <c r="MB157" s="8"/>
      <c r="MC157" s="8"/>
      <c r="MD157" s="8"/>
      <c r="ME157" s="8"/>
      <c r="MF157" s="8"/>
      <c r="MG157" s="8"/>
      <c r="MH157" s="8"/>
      <c r="MI157" s="8"/>
      <c r="MJ157" s="8"/>
      <c r="MK157" s="8"/>
      <c r="ML157" s="8"/>
      <c r="MM157" s="8"/>
      <c r="MN157" s="8"/>
      <c r="MO157" s="8"/>
      <c r="MP157" s="8"/>
      <c r="MQ157" s="8"/>
      <c r="MR157" s="8"/>
      <c r="MS157" s="8"/>
      <c r="MT157" s="8"/>
      <c r="MU157" s="8"/>
      <c r="MV157" s="8"/>
      <c r="MW157" s="8"/>
      <c r="MX157" s="8"/>
      <c r="MY157" s="8"/>
      <c r="MZ157" s="8"/>
    </row>
    <row r="158" spans="1:364" s="12" customFormat="1" ht="37.5">
      <c r="A158" s="154" t="s">
        <v>497</v>
      </c>
      <c r="B158" s="148">
        <v>98297</v>
      </c>
      <c r="C158" s="149" t="s">
        <v>531</v>
      </c>
      <c r="D158" s="164">
        <v>600</v>
      </c>
      <c r="E158" s="224" t="s">
        <v>33</v>
      </c>
      <c r="F158" s="165">
        <v>2.79</v>
      </c>
      <c r="G158" s="152">
        <f t="shared" si="37"/>
        <v>3.563109</v>
      </c>
      <c r="H158" s="152">
        <f t="shared" si="38"/>
        <v>2137.8654</v>
      </c>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c r="DL158" s="8"/>
      <c r="DM158" s="8"/>
      <c r="DN158" s="8"/>
      <c r="DO158" s="8"/>
      <c r="DP158" s="8"/>
      <c r="DQ158" s="8"/>
      <c r="DR158" s="8"/>
      <c r="DS158" s="8"/>
      <c r="DT158" s="8"/>
      <c r="DU158" s="8"/>
      <c r="DV158" s="8"/>
      <c r="DW158" s="8"/>
      <c r="DX158" s="8"/>
      <c r="DY158" s="8"/>
      <c r="DZ158" s="8"/>
      <c r="EA158" s="8"/>
      <c r="EB158" s="8"/>
      <c r="EC158" s="8"/>
      <c r="ED158" s="8"/>
      <c r="EE158" s="8"/>
      <c r="EF158" s="8"/>
      <c r="EG158" s="8"/>
      <c r="EH158" s="8"/>
      <c r="EI158" s="8"/>
      <c r="EJ158" s="8"/>
      <c r="EK158" s="8"/>
      <c r="EL158" s="8"/>
      <c r="EM158" s="8"/>
      <c r="EN158" s="8"/>
      <c r="EO158" s="8"/>
      <c r="EP158" s="8"/>
      <c r="EQ158" s="8"/>
      <c r="ER158" s="8"/>
      <c r="ES158" s="8"/>
      <c r="ET158" s="8"/>
      <c r="EU158" s="8"/>
      <c r="EV158" s="8"/>
      <c r="EW158" s="8"/>
      <c r="EX158" s="8"/>
      <c r="EY158" s="8"/>
      <c r="EZ158" s="8"/>
      <c r="FA158" s="8"/>
      <c r="FB158" s="8"/>
      <c r="FC158" s="8"/>
      <c r="FD158" s="8"/>
      <c r="FE158" s="8"/>
      <c r="FF158" s="8"/>
      <c r="FG158" s="8"/>
      <c r="FH158" s="8"/>
      <c r="FI158" s="8"/>
      <c r="FJ158" s="8"/>
      <c r="FK158" s="8"/>
      <c r="FL158" s="8"/>
      <c r="FM158" s="8"/>
      <c r="FN158" s="8"/>
      <c r="FO158" s="8"/>
      <c r="FP158" s="8"/>
      <c r="FQ158" s="8"/>
      <c r="FR158" s="8"/>
      <c r="FS158" s="8"/>
      <c r="FT158" s="8"/>
      <c r="FU158" s="8"/>
      <c r="FV158" s="8"/>
      <c r="FW158" s="8"/>
      <c r="FX158" s="8"/>
      <c r="FY158" s="8"/>
      <c r="FZ158" s="8"/>
      <c r="GA158" s="8"/>
      <c r="GB158" s="8"/>
      <c r="GC158" s="8"/>
      <c r="GD158" s="8"/>
      <c r="GE158" s="8"/>
      <c r="GF158" s="8"/>
      <c r="GG158" s="8"/>
      <c r="GH158" s="8"/>
      <c r="GI158" s="8"/>
      <c r="GJ158" s="8"/>
      <c r="GK158" s="8"/>
      <c r="GL158" s="8"/>
      <c r="GM158" s="8"/>
      <c r="GN158" s="8"/>
      <c r="GO158" s="8"/>
      <c r="GP158" s="8"/>
      <c r="GQ158" s="8"/>
      <c r="GR158" s="8"/>
      <c r="GS158" s="8"/>
      <c r="GT158" s="8"/>
      <c r="GU158" s="8"/>
      <c r="GV158" s="8"/>
      <c r="GW158" s="8"/>
      <c r="GX158" s="8"/>
      <c r="GY158" s="8"/>
      <c r="GZ158" s="8"/>
      <c r="HA158" s="8"/>
      <c r="HB158" s="8"/>
      <c r="HC158" s="8"/>
      <c r="HD158" s="8"/>
      <c r="HE158" s="8"/>
      <c r="HF158" s="8"/>
      <c r="HG158" s="8"/>
      <c r="HH158" s="8"/>
      <c r="HI158" s="8"/>
      <c r="HJ158" s="8"/>
      <c r="HK158" s="8"/>
      <c r="HL158" s="8"/>
      <c r="HM158" s="8"/>
      <c r="HN158" s="8"/>
      <c r="HO158" s="8"/>
      <c r="HP158" s="8"/>
      <c r="HQ158" s="8"/>
      <c r="HR158" s="8"/>
      <c r="HS158" s="8"/>
      <c r="HT158" s="8"/>
      <c r="HU158" s="8"/>
      <c r="HV158" s="8"/>
      <c r="HW158" s="8"/>
      <c r="HX158" s="8"/>
      <c r="HY158" s="8"/>
      <c r="HZ158" s="8"/>
      <c r="IA158" s="8"/>
      <c r="IB158" s="8"/>
      <c r="IC158" s="8"/>
      <c r="ID158" s="8"/>
      <c r="IE158" s="8"/>
      <c r="IF158" s="8"/>
      <c r="IG158" s="8"/>
      <c r="IH158" s="8"/>
      <c r="II158" s="8"/>
      <c r="IJ158" s="8"/>
      <c r="IK158" s="8"/>
      <c r="IL158" s="8"/>
      <c r="IM158" s="8"/>
      <c r="IN158" s="8"/>
      <c r="IO158" s="8"/>
      <c r="IP158" s="8"/>
      <c r="IQ158" s="8"/>
      <c r="IR158" s="8"/>
      <c r="IS158" s="8"/>
      <c r="IT158" s="8"/>
      <c r="IU158" s="8"/>
      <c r="IV158" s="8"/>
      <c r="IW158" s="8"/>
      <c r="IX158" s="8"/>
      <c r="IY158" s="8"/>
      <c r="IZ158" s="8"/>
      <c r="JA158" s="8"/>
      <c r="JB158" s="8"/>
      <c r="JC158" s="8"/>
      <c r="JD158" s="8"/>
      <c r="JE158" s="8"/>
      <c r="JF158" s="8"/>
      <c r="JG158" s="8"/>
      <c r="JH158" s="8"/>
      <c r="JI158" s="8"/>
      <c r="JJ158" s="8"/>
      <c r="JK158" s="8"/>
      <c r="JL158" s="8"/>
      <c r="JM158" s="8"/>
      <c r="JN158" s="8"/>
      <c r="JO158" s="8"/>
      <c r="JP158" s="8"/>
      <c r="JQ158" s="8"/>
      <c r="JR158" s="8"/>
      <c r="JS158" s="8"/>
      <c r="JT158" s="8"/>
      <c r="JU158" s="8"/>
      <c r="JV158" s="8"/>
      <c r="JW158" s="8"/>
      <c r="JX158" s="8"/>
      <c r="JY158" s="8"/>
      <c r="JZ158" s="8"/>
      <c r="KA158" s="8"/>
      <c r="KB158" s="8"/>
      <c r="KC158" s="8"/>
      <c r="KD158" s="8"/>
      <c r="KE158" s="8"/>
      <c r="KF158" s="8"/>
      <c r="KG158" s="8"/>
      <c r="KH158" s="8"/>
      <c r="KI158" s="8"/>
      <c r="KJ158" s="8"/>
      <c r="KK158" s="8"/>
      <c r="KL158" s="8"/>
      <c r="KM158" s="8"/>
      <c r="KN158" s="8"/>
      <c r="KO158" s="8"/>
      <c r="KP158" s="8"/>
      <c r="KQ158" s="8"/>
      <c r="KR158" s="8"/>
      <c r="KS158" s="8"/>
      <c r="KT158" s="8"/>
      <c r="KU158" s="8"/>
      <c r="KV158" s="8"/>
      <c r="KW158" s="8"/>
      <c r="KX158" s="8"/>
      <c r="KY158" s="8"/>
      <c r="KZ158" s="8"/>
      <c r="LA158" s="8"/>
      <c r="LB158" s="8"/>
      <c r="LC158" s="8"/>
      <c r="LD158" s="8"/>
      <c r="LE158" s="8"/>
      <c r="LF158" s="8"/>
      <c r="LG158" s="8"/>
      <c r="LH158" s="8"/>
      <c r="LI158" s="8"/>
      <c r="LJ158" s="8"/>
      <c r="LK158" s="8"/>
      <c r="LL158" s="8"/>
      <c r="LM158" s="8"/>
      <c r="LN158" s="8"/>
      <c r="LO158" s="8"/>
      <c r="LP158" s="8"/>
      <c r="LQ158" s="8"/>
      <c r="LR158" s="8"/>
      <c r="LS158" s="8"/>
      <c r="LT158" s="8"/>
      <c r="LU158" s="8"/>
      <c r="LV158" s="8"/>
      <c r="LW158" s="8"/>
      <c r="LX158" s="8"/>
      <c r="LY158" s="8"/>
      <c r="LZ158" s="8"/>
      <c r="MA158" s="8"/>
      <c r="MB158" s="8"/>
      <c r="MC158" s="8"/>
      <c r="MD158" s="8"/>
      <c r="ME158" s="8"/>
      <c r="MF158" s="8"/>
      <c r="MG158" s="8"/>
      <c r="MH158" s="8"/>
      <c r="MI158" s="8"/>
      <c r="MJ158" s="8"/>
      <c r="MK158" s="8"/>
      <c r="ML158" s="8"/>
      <c r="MM158" s="8"/>
      <c r="MN158" s="8"/>
      <c r="MO158" s="8"/>
      <c r="MP158" s="8"/>
      <c r="MQ158" s="8"/>
      <c r="MR158" s="8"/>
      <c r="MS158" s="8"/>
      <c r="MT158" s="8"/>
      <c r="MU158" s="8"/>
      <c r="MV158" s="8"/>
      <c r="MW158" s="8"/>
      <c r="MX158" s="8"/>
      <c r="MY158" s="8"/>
      <c r="MZ158" s="8"/>
    </row>
    <row r="159" spans="1:8" s="7" customFormat="1" ht="15">
      <c r="A159" s="226"/>
      <c r="B159" s="226"/>
      <c r="C159" s="226" t="s">
        <v>16</v>
      </c>
      <c r="D159" s="208"/>
      <c r="E159" s="226"/>
      <c r="F159" s="209"/>
      <c r="G159" s="153"/>
      <c r="H159" s="153">
        <f>SUM(H91:H158)</f>
        <v>238252.928067</v>
      </c>
    </row>
    <row r="160" spans="1:8" s="11" customFormat="1" ht="15">
      <c r="A160" s="202">
        <v>11</v>
      </c>
      <c r="B160" s="202"/>
      <c r="C160" s="243" t="s">
        <v>85</v>
      </c>
      <c r="D160" s="243"/>
      <c r="E160" s="243"/>
      <c r="F160" s="243"/>
      <c r="G160" s="243"/>
      <c r="H160" s="243"/>
    </row>
    <row r="161" spans="1:8" s="8" customFormat="1" ht="15">
      <c r="A161" s="148"/>
      <c r="B161" s="148"/>
      <c r="C161" s="227" t="s">
        <v>542</v>
      </c>
      <c r="D161" s="150"/>
      <c r="E161" s="148"/>
      <c r="F161" s="151"/>
      <c r="G161" s="215"/>
      <c r="H161" s="215"/>
    </row>
    <row r="162" spans="1:8" s="8" customFormat="1" ht="15">
      <c r="A162" s="148" t="s">
        <v>79</v>
      </c>
      <c r="B162" s="148" t="s">
        <v>532</v>
      </c>
      <c r="C162" s="149" t="s">
        <v>533</v>
      </c>
      <c r="D162" s="150">
        <f>136.68*2.7+308+9*1.7*2*2</f>
        <v>738.2360000000001</v>
      </c>
      <c r="E162" s="148" t="s">
        <v>13</v>
      </c>
      <c r="F162" s="151">
        <v>2.33</v>
      </c>
      <c r="G162" s="152">
        <f aca="true" t="shared" si="41" ref="G162">F162*1.2771</f>
        <v>2.975643</v>
      </c>
      <c r="H162" s="152">
        <f aca="true" t="shared" si="42" ref="H162">D162*G162</f>
        <v>2196.726785748</v>
      </c>
    </row>
    <row r="163" spans="1:8" s="8" customFormat="1" ht="15">
      <c r="A163" s="148" t="s">
        <v>81</v>
      </c>
      <c r="B163" s="148" t="s">
        <v>534</v>
      </c>
      <c r="C163" s="149" t="s">
        <v>535</v>
      </c>
      <c r="D163" s="150">
        <f>136.68*2.7+9*1.7*2*2</f>
        <v>430.23600000000005</v>
      </c>
      <c r="E163" s="148" t="s">
        <v>13</v>
      </c>
      <c r="F163" s="151">
        <v>11.86</v>
      </c>
      <c r="G163" s="152">
        <f aca="true" t="shared" si="43" ref="G163:G166">F163*1.2771</f>
        <v>15.146405999999999</v>
      </c>
      <c r="H163" s="152">
        <f aca="true" t="shared" si="44" ref="H163:H166">D163*G163</f>
        <v>6516.529131816001</v>
      </c>
    </row>
    <row r="164" spans="1:8" s="8" customFormat="1" ht="15">
      <c r="A164" s="148" t="s">
        <v>82</v>
      </c>
      <c r="B164" s="148" t="s">
        <v>536</v>
      </c>
      <c r="C164" s="149" t="s">
        <v>537</v>
      </c>
      <c r="D164" s="150">
        <v>308</v>
      </c>
      <c r="E164" s="148" t="s">
        <v>13</v>
      </c>
      <c r="F164" s="151">
        <v>20.16</v>
      </c>
      <c r="G164" s="152">
        <f t="shared" si="43"/>
        <v>25.746336</v>
      </c>
      <c r="H164" s="152">
        <f t="shared" si="44"/>
        <v>7929.871488</v>
      </c>
    </row>
    <row r="165" spans="1:8" s="8" customFormat="1" ht="15">
      <c r="A165" s="148" t="s">
        <v>83</v>
      </c>
      <c r="B165" s="148" t="s">
        <v>538</v>
      </c>
      <c r="C165" s="149" t="s">
        <v>539</v>
      </c>
      <c r="D165" s="150">
        <f>D163</f>
        <v>430.23600000000005</v>
      </c>
      <c r="E165" s="148" t="s">
        <v>13</v>
      </c>
      <c r="F165" s="151">
        <v>14.79</v>
      </c>
      <c r="G165" s="152">
        <f t="shared" si="43"/>
        <v>18.888308999999996</v>
      </c>
      <c r="H165" s="152">
        <f t="shared" si="44"/>
        <v>8126.4305109239995</v>
      </c>
    </row>
    <row r="166" spans="1:8" s="8" customFormat="1" ht="15">
      <c r="A166" s="148" t="s">
        <v>84</v>
      </c>
      <c r="B166" s="148" t="s">
        <v>540</v>
      </c>
      <c r="C166" s="149" t="s">
        <v>541</v>
      </c>
      <c r="D166" s="150">
        <f>D164</f>
        <v>308</v>
      </c>
      <c r="E166" s="148" t="s">
        <v>13</v>
      </c>
      <c r="F166" s="151">
        <v>16.53</v>
      </c>
      <c r="G166" s="152">
        <f t="shared" si="43"/>
        <v>21.110463</v>
      </c>
      <c r="H166" s="152">
        <f t="shared" si="44"/>
        <v>6502.022604</v>
      </c>
    </row>
    <row r="167" spans="1:8" s="7" customFormat="1" ht="15">
      <c r="A167" s="226"/>
      <c r="B167" s="226"/>
      <c r="C167" s="226" t="s">
        <v>16</v>
      </c>
      <c r="D167" s="208"/>
      <c r="E167" s="226"/>
      <c r="F167" s="209"/>
      <c r="G167" s="153"/>
      <c r="H167" s="153">
        <f>SUM(H161:H166)</f>
        <v>31271.580520488</v>
      </c>
    </row>
    <row r="168" spans="1:8" s="11" customFormat="1" ht="15">
      <c r="A168" s="202">
        <v>12</v>
      </c>
      <c r="B168" s="202"/>
      <c r="C168" s="243" t="s">
        <v>92</v>
      </c>
      <c r="D168" s="243"/>
      <c r="E168" s="243"/>
      <c r="F168" s="243"/>
      <c r="G168" s="243"/>
      <c r="H168" s="243"/>
    </row>
    <row r="169" spans="1:8" s="8" customFormat="1" ht="15">
      <c r="A169" s="148" t="s">
        <v>86</v>
      </c>
      <c r="B169" s="163" t="s">
        <v>543</v>
      </c>
      <c r="C169" s="149" t="s">
        <v>544</v>
      </c>
      <c r="D169" s="150">
        <v>310</v>
      </c>
      <c r="E169" s="148" t="s">
        <v>13</v>
      </c>
      <c r="F169" s="151">
        <v>1.82</v>
      </c>
      <c r="G169" s="152">
        <f aca="true" t="shared" si="45" ref="G169:G189">F169*1.2771</f>
        <v>2.324322</v>
      </c>
      <c r="H169" s="152">
        <f aca="true" t="shared" si="46" ref="H169">D169*G169</f>
        <v>720.53982</v>
      </c>
    </row>
    <row r="170" spans="1:8" s="8" customFormat="1" ht="15">
      <c r="A170" s="148" t="s">
        <v>87</v>
      </c>
      <c r="B170" s="163">
        <v>95546</v>
      </c>
      <c r="C170" s="149" t="s">
        <v>545</v>
      </c>
      <c r="D170" s="150">
        <v>6</v>
      </c>
      <c r="E170" s="148" t="s">
        <v>44</v>
      </c>
      <c r="F170" s="151">
        <v>212.4</v>
      </c>
      <c r="G170" s="152">
        <f aca="true" t="shared" si="47" ref="G170:G174">F170*1.2771</f>
        <v>271.25604</v>
      </c>
      <c r="H170" s="152">
        <f aca="true" t="shared" si="48" ref="H170:H174">D170*G170</f>
        <v>1627.53624</v>
      </c>
    </row>
    <row r="171" spans="1:8" s="8" customFormat="1" ht="15">
      <c r="A171" s="148" t="s">
        <v>88</v>
      </c>
      <c r="B171" s="163">
        <v>100849</v>
      </c>
      <c r="C171" s="149" t="s">
        <v>546</v>
      </c>
      <c r="D171" s="150">
        <v>6</v>
      </c>
      <c r="E171" s="148" t="s">
        <v>44</v>
      </c>
      <c r="F171" s="151">
        <v>49.84</v>
      </c>
      <c r="G171" s="152">
        <f t="shared" si="47"/>
        <v>63.650664</v>
      </c>
      <c r="H171" s="152">
        <f t="shared" si="48"/>
        <v>381.903984</v>
      </c>
    </row>
    <row r="172" spans="1:8" s="8" customFormat="1" ht="15">
      <c r="A172" s="148" t="s">
        <v>89</v>
      </c>
      <c r="B172" s="163" t="s">
        <v>547</v>
      </c>
      <c r="C172" s="149" t="s">
        <v>548</v>
      </c>
      <c r="D172" s="150">
        <v>1</v>
      </c>
      <c r="E172" s="148" t="s">
        <v>44</v>
      </c>
      <c r="F172" s="151">
        <v>367.93</v>
      </c>
      <c r="G172" s="152">
        <f t="shared" si="47"/>
        <v>469.883403</v>
      </c>
      <c r="H172" s="152">
        <f t="shared" si="48"/>
        <v>469.883403</v>
      </c>
    </row>
    <row r="173" spans="1:8" s="8" customFormat="1" ht="37.5">
      <c r="A173" s="148" t="s">
        <v>90</v>
      </c>
      <c r="B173" s="163">
        <v>100864</v>
      </c>
      <c r="C173" s="149" t="s">
        <v>549</v>
      </c>
      <c r="D173" s="150">
        <v>1</v>
      </c>
      <c r="E173" s="148" t="s">
        <v>44</v>
      </c>
      <c r="F173" s="151">
        <v>803.14</v>
      </c>
      <c r="G173" s="152">
        <f t="shared" si="47"/>
        <v>1025.6900939999998</v>
      </c>
      <c r="H173" s="152">
        <f t="shared" si="48"/>
        <v>1025.6900939999998</v>
      </c>
    </row>
    <row r="174" spans="1:8" s="8" customFormat="1" ht="37.5">
      <c r="A174" s="148" t="s">
        <v>91</v>
      </c>
      <c r="B174" s="163">
        <v>100869</v>
      </c>
      <c r="C174" s="149" t="s">
        <v>550</v>
      </c>
      <c r="D174" s="150">
        <v>1</v>
      </c>
      <c r="E174" s="148" t="s">
        <v>44</v>
      </c>
      <c r="F174" s="151">
        <v>422.55</v>
      </c>
      <c r="G174" s="152">
        <f t="shared" si="47"/>
        <v>539.638605</v>
      </c>
      <c r="H174" s="152">
        <f t="shared" si="48"/>
        <v>539.638605</v>
      </c>
    </row>
    <row r="175" spans="1:8" s="10" customFormat="1" ht="15">
      <c r="A175" s="226"/>
      <c r="B175" s="226"/>
      <c r="C175" s="226" t="s">
        <v>16</v>
      </c>
      <c r="D175" s="208"/>
      <c r="E175" s="226"/>
      <c r="F175" s="209"/>
      <c r="G175" s="153"/>
      <c r="H175" s="153">
        <f>SUM(H169:H174)</f>
        <v>4765.192145999999</v>
      </c>
    </row>
    <row r="176" spans="1:8" s="9" customFormat="1" ht="15">
      <c r="A176" s="216">
        <v>13</v>
      </c>
      <c r="B176" s="163"/>
      <c r="C176" s="225" t="s">
        <v>103</v>
      </c>
      <c r="D176" s="150"/>
      <c r="E176" s="148"/>
      <c r="F176" s="151"/>
      <c r="G176" s="152">
        <f t="shared" si="45"/>
        <v>0</v>
      </c>
      <c r="H176" s="152">
        <f aca="true" t="shared" si="49" ref="H176:H189">D176*G176</f>
        <v>0</v>
      </c>
    </row>
    <row r="177" spans="1:8" s="9" customFormat="1" ht="37.5">
      <c r="A177" s="217" t="s">
        <v>93</v>
      </c>
      <c r="B177" s="166" t="s">
        <v>97</v>
      </c>
      <c r="C177" s="167" t="s">
        <v>553</v>
      </c>
      <c r="D177" s="168">
        <f>15*3</f>
        <v>45</v>
      </c>
      <c r="E177" s="154" t="s">
        <v>33</v>
      </c>
      <c r="F177" s="165">
        <v>324.12</v>
      </c>
      <c r="G177" s="152">
        <f t="shared" si="45"/>
        <v>413.933652</v>
      </c>
      <c r="H177" s="152">
        <f t="shared" si="49"/>
        <v>18627.01434</v>
      </c>
    </row>
    <row r="178" spans="1:8" s="9" customFormat="1" ht="37.5">
      <c r="A178" s="217" t="s">
        <v>94</v>
      </c>
      <c r="B178" s="166" t="s">
        <v>554</v>
      </c>
      <c r="C178" s="167" t="s">
        <v>555</v>
      </c>
      <c r="D178" s="168">
        <v>3</v>
      </c>
      <c r="E178" s="154" t="s">
        <v>44</v>
      </c>
      <c r="F178" s="165">
        <v>42.3</v>
      </c>
      <c r="G178" s="152">
        <f t="shared" si="45"/>
        <v>54.02132999999999</v>
      </c>
      <c r="H178" s="152">
        <f t="shared" si="49"/>
        <v>162.06399</v>
      </c>
    </row>
    <row r="179" spans="1:8" s="9" customFormat="1" ht="37.5">
      <c r="A179" s="217" t="s">
        <v>95</v>
      </c>
      <c r="B179" s="166" t="s">
        <v>556</v>
      </c>
      <c r="C179" s="167" t="s">
        <v>557</v>
      </c>
      <c r="D179" s="168">
        <v>6</v>
      </c>
      <c r="E179" s="154" t="s">
        <v>44</v>
      </c>
      <c r="F179" s="165">
        <v>37.45</v>
      </c>
      <c r="G179" s="152">
        <f t="shared" si="45"/>
        <v>47.827395</v>
      </c>
      <c r="H179" s="152">
        <f t="shared" si="49"/>
        <v>286.96437000000003</v>
      </c>
    </row>
    <row r="180" spans="1:8" s="9" customFormat="1" ht="37.5">
      <c r="A180" s="217" t="s">
        <v>96</v>
      </c>
      <c r="B180" s="166" t="s">
        <v>50</v>
      </c>
      <c r="C180" s="167" t="s">
        <v>558</v>
      </c>
      <c r="D180" s="168">
        <f>(2.4+14.7+7.3)*3</f>
        <v>73.19999999999999</v>
      </c>
      <c r="E180" s="154" t="s">
        <v>33</v>
      </c>
      <c r="F180" s="165">
        <v>149.79</v>
      </c>
      <c r="G180" s="152">
        <f aca="true" t="shared" si="50" ref="G180:G186">F180*1.2771</f>
        <v>191.29680899999997</v>
      </c>
      <c r="H180" s="152">
        <f aca="true" t="shared" si="51" ref="H180:H186">D180*G180</f>
        <v>14002.926418799996</v>
      </c>
    </row>
    <row r="181" spans="1:8" s="9" customFormat="1" ht="37.5">
      <c r="A181" s="217" t="s">
        <v>98</v>
      </c>
      <c r="B181" s="166" t="s">
        <v>559</v>
      </c>
      <c r="C181" s="167" t="s">
        <v>560</v>
      </c>
      <c r="D181" s="168">
        <v>3</v>
      </c>
      <c r="E181" s="154" t="s">
        <v>44</v>
      </c>
      <c r="F181" s="165">
        <v>29.18</v>
      </c>
      <c r="G181" s="152">
        <f t="shared" si="50"/>
        <v>37.265778</v>
      </c>
      <c r="H181" s="152">
        <f t="shared" si="51"/>
        <v>111.79733399999999</v>
      </c>
    </row>
    <row r="182" spans="1:8" s="9" customFormat="1" ht="37.5">
      <c r="A182" s="217" t="s">
        <v>99</v>
      </c>
      <c r="B182" s="166" t="s">
        <v>561</v>
      </c>
      <c r="C182" s="167" t="s">
        <v>562</v>
      </c>
      <c r="D182" s="168">
        <v>6</v>
      </c>
      <c r="E182" s="154" t="s">
        <v>44</v>
      </c>
      <c r="F182" s="165">
        <v>24.54</v>
      </c>
      <c r="G182" s="152">
        <f t="shared" si="50"/>
        <v>31.340033999999996</v>
      </c>
      <c r="H182" s="152">
        <f t="shared" si="51"/>
        <v>188.04020399999996</v>
      </c>
    </row>
    <row r="183" spans="1:8" s="9" customFormat="1" ht="37.5">
      <c r="A183" s="217" t="s">
        <v>100</v>
      </c>
      <c r="B183" s="166" t="s">
        <v>46</v>
      </c>
      <c r="C183" s="167" t="s">
        <v>563</v>
      </c>
      <c r="D183" s="168">
        <f>(2.6*2+10*5.5)*3</f>
        <v>180.60000000000002</v>
      </c>
      <c r="E183" s="154" t="s">
        <v>33</v>
      </c>
      <c r="F183" s="165">
        <v>91.39</v>
      </c>
      <c r="G183" s="152">
        <f t="shared" si="50"/>
        <v>116.714169</v>
      </c>
      <c r="H183" s="152">
        <f t="shared" si="51"/>
        <v>21078.578921400003</v>
      </c>
    </row>
    <row r="184" spans="1:8" s="9" customFormat="1" ht="37.5">
      <c r="A184" s="217" t="s">
        <v>101</v>
      </c>
      <c r="B184" s="166">
        <v>92317</v>
      </c>
      <c r="C184" s="167" t="s">
        <v>564</v>
      </c>
      <c r="D184" s="168">
        <f>3*10</f>
        <v>30</v>
      </c>
      <c r="E184" s="154" t="s">
        <v>44</v>
      </c>
      <c r="F184" s="165">
        <v>17.63</v>
      </c>
      <c r="G184" s="152">
        <f t="shared" si="50"/>
        <v>22.515272999999997</v>
      </c>
      <c r="H184" s="152">
        <f t="shared" si="51"/>
        <v>675.45819</v>
      </c>
    </row>
    <row r="185" spans="1:8" s="9" customFormat="1" ht="37.5">
      <c r="A185" s="217" t="s">
        <v>102</v>
      </c>
      <c r="B185" s="166">
        <v>92311</v>
      </c>
      <c r="C185" s="167" t="s">
        <v>565</v>
      </c>
      <c r="D185" s="168">
        <f>3*2*10</f>
        <v>60</v>
      </c>
      <c r="E185" s="154" t="s">
        <v>44</v>
      </c>
      <c r="F185" s="165">
        <v>12.93</v>
      </c>
      <c r="G185" s="152">
        <f t="shared" si="50"/>
        <v>16.512902999999998</v>
      </c>
      <c r="H185" s="152">
        <f t="shared" si="51"/>
        <v>990.7741799999999</v>
      </c>
    </row>
    <row r="186" spans="1:8" s="9" customFormat="1" ht="15">
      <c r="A186" s="217" t="s">
        <v>104</v>
      </c>
      <c r="B186" s="166" t="s">
        <v>47</v>
      </c>
      <c r="C186" s="167" t="s">
        <v>566</v>
      </c>
      <c r="D186" s="168">
        <f>10*3</f>
        <v>30</v>
      </c>
      <c r="E186" s="154" t="s">
        <v>44</v>
      </c>
      <c r="F186" s="165">
        <v>203.13</v>
      </c>
      <c r="G186" s="152">
        <f t="shared" si="50"/>
        <v>259.41732299999995</v>
      </c>
      <c r="H186" s="152">
        <f t="shared" si="51"/>
        <v>7782.519689999998</v>
      </c>
    </row>
    <row r="187" spans="1:8" s="9" customFormat="1" ht="15">
      <c r="A187" s="217" t="s">
        <v>105</v>
      </c>
      <c r="B187" s="166">
        <v>90447</v>
      </c>
      <c r="C187" s="167" t="s">
        <v>567</v>
      </c>
      <c r="D187" s="168">
        <f>D183</f>
        <v>180.60000000000002</v>
      </c>
      <c r="E187" s="154" t="s">
        <v>33</v>
      </c>
      <c r="F187" s="165">
        <v>5.61</v>
      </c>
      <c r="G187" s="152">
        <f t="shared" si="45"/>
        <v>7.164531</v>
      </c>
      <c r="H187" s="152">
        <f t="shared" si="49"/>
        <v>1293.9142986000002</v>
      </c>
    </row>
    <row r="188" spans="1:8" s="9" customFormat="1" ht="37.5">
      <c r="A188" s="217" t="s">
        <v>551</v>
      </c>
      <c r="B188" s="166">
        <v>90466</v>
      </c>
      <c r="C188" s="167" t="s">
        <v>447</v>
      </c>
      <c r="D188" s="168">
        <f>D187</f>
        <v>180.60000000000002</v>
      </c>
      <c r="E188" s="154" t="s">
        <v>33</v>
      </c>
      <c r="F188" s="165">
        <v>11.61</v>
      </c>
      <c r="G188" s="152">
        <f t="shared" si="45"/>
        <v>14.827130999999998</v>
      </c>
      <c r="H188" s="152">
        <f t="shared" si="49"/>
        <v>2677.7798586</v>
      </c>
    </row>
    <row r="189" spans="1:8" s="9" customFormat="1" ht="37.5">
      <c r="A189" s="217" t="s">
        <v>552</v>
      </c>
      <c r="B189" s="166">
        <v>95250</v>
      </c>
      <c r="C189" s="167" t="s">
        <v>568</v>
      </c>
      <c r="D189" s="168">
        <f>10*3+3+3</f>
        <v>36</v>
      </c>
      <c r="E189" s="154" t="s">
        <v>44</v>
      </c>
      <c r="F189" s="165">
        <v>97.01</v>
      </c>
      <c r="G189" s="152">
        <f t="shared" si="45"/>
        <v>123.891471</v>
      </c>
      <c r="H189" s="152">
        <f t="shared" si="49"/>
        <v>4460.0929559999995</v>
      </c>
    </row>
    <row r="190" spans="1:8" s="6" customFormat="1" ht="15">
      <c r="A190" s="226"/>
      <c r="B190" s="226"/>
      <c r="C190" s="226" t="s">
        <v>16</v>
      </c>
      <c r="D190" s="218"/>
      <c r="E190" s="219"/>
      <c r="F190" s="220"/>
      <c r="G190" s="221"/>
      <c r="H190" s="153">
        <f>SUM(H177:H189)</f>
        <v>72337.9247514</v>
      </c>
    </row>
    <row r="191" spans="1:8" s="9" customFormat="1" ht="15">
      <c r="A191" s="216">
        <v>14</v>
      </c>
      <c r="B191" s="163"/>
      <c r="C191" s="225" t="s">
        <v>632</v>
      </c>
      <c r="D191" s="150"/>
      <c r="E191" s="148"/>
      <c r="F191" s="151"/>
      <c r="G191" s="152"/>
      <c r="H191" s="152"/>
    </row>
    <row r="192" spans="1:8" s="9" customFormat="1" ht="15">
      <c r="A192" s="217" t="s">
        <v>107</v>
      </c>
      <c r="B192" s="166" t="s">
        <v>15</v>
      </c>
      <c r="C192" s="167" t="s">
        <v>656</v>
      </c>
      <c r="D192" s="168">
        <v>1</v>
      </c>
      <c r="E192" s="154" t="s">
        <v>633</v>
      </c>
      <c r="F192" s="165">
        <v>8930</v>
      </c>
      <c r="G192" s="152">
        <f>F192*1.2771</f>
        <v>11404.502999999999</v>
      </c>
      <c r="H192" s="152">
        <f aca="true" t="shared" si="52" ref="H192">D192*G192</f>
        <v>11404.502999999999</v>
      </c>
    </row>
    <row r="193" spans="1:8" s="9" customFormat="1" ht="15">
      <c r="A193" s="217" t="s">
        <v>659</v>
      </c>
      <c r="B193" s="166" t="s">
        <v>15</v>
      </c>
      <c r="C193" s="167" t="s">
        <v>657</v>
      </c>
      <c r="D193" s="168">
        <v>1</v>
      </c>
      <c r="E193" s="154" t="s">
        <v>633</v>
      </c>
      <c r="F193" s="165">
        <v>7340</v>
      </c>
      <c r="G193" s="152">
        <f aca="true" t="shared" si="53" ref="G193:G194">F193*1.2771</f>
        <v>9373.913999999999</v>
      </c>
      <c r="H193" s="152">
        <f aca="true" t="shared" si="54" ref="H193">D193*G193</f>
        <v>9373.913999999999</v>
      </c>
    </row>
    <row r="194" spans="1:8" s="9" customFormat="1" ht="15">
      <c r="A194" s="217" t="s">
        <v>660</v>
      </c>
      <c r="B194" s="166" t="s">
        <v>15</v>
      </c>
      <c r="C194" s="167" t="s">
        <v>658</v>
      </c>
      <c r="D194" s="168">
        <v>1</v>
      </c>
      <c r="E194" s="154" t="s">
        <v>633</v>
      </c>
      <c r="F194" s="165">
        <v>8743</v>
      </c>
      <c r="G194" s="152">
        <f t="shared" si="53"/>
        <v>11165.6853</v>
      </c>
      <c r="H194" s="152">
        <f aca="true" t="shared" si="55" ref="H194">D194*G194</f>
        <v>11165.6853</v>
      </c>
    </row>
    <row r="195" spans="1:8" s="10" customFormat="1" ht="15">
      <c r="A195" s="226" t="s">
        <v>16</v>
      </c>
      <c r="B195" s="226"/>
      <c r="C195" s="222"/>
      <c r="D195" s="208"/>
      <c r="E195" s="226"/>
      <c r="F195" s="209"/>
      <c r="G195" s="153"/>
      <c r="H195" s="153">
        <f>SUM(H192:H194)</f>
        <v>31944.1023</v>
      </c>
    </row>
    <row r="196" spans="1:8" s="7" customFormat="1" ht="15">
      <c r="A196" s="147">
        <v>15</v>
      </c>
      <c r="B196" s="147"/>
      <c r="C196" s="245" t="s">
        <v>106</v>
      </c>
      <c r="D196" s="245"/>
      <c r="E196" s="245"/>
      <c r="F196" s="245"/>
      <c r="G196" s="245"/>
      <c r="H196" s="245"/>
    </row>
    <row r="197" spans="1:8" s="9" customFormat="1" ht="15">
      <c r="A197" s="217" t="s">
        <v>634</v>
      </c>
      <c r="B197" s="166" t="s">
        <v>569</v>
      </c>
      <c r="C197" s="167" t="s">
        <v>570</v>
      </c>
      <c r="D197" s="168">
        <f>22*4*4</f>
        <v>352</v>
      </c>
      <c r="E197" s="154" t="s">
        <v>135</v>
      </c>
      <c r="F197" s="165">
        <v>100.84</v>
      </c>
      <c r="G197" s="152">
        <f aca="true" t="shared" si="56" ref="G197:G198">F197*1.2771</f>
        <v>128.782764</v>
      </c>
      <c r="H197" s="152">
        <f>D197*G197</f>
        <v>45331.53292799999</v>
      </c>
    </row>
    <row r="198" spans="1:8" s="9" customFormat="1" ht="15">
      <c r="A198" s="217" t="s">
        <v>635</v>
      </c>
      <c r="B198" s="166" t="s">
        <v>571</v>
      </c>
      <c r="C198" s="167" t="s">
        <v>572</v>
      </c>
      <c r="D198" s="168">
        <f>22*8*4</f>
        <v>704</v>
      </c>
      <c r="E198" s="154" t="s">
        <v>135</v>
      </c>
      <c r="F198" s="165">
        <v>48.22</v>
      </c>
      <c r="G198" s="152">
        <f t="shared" si="56"/>
        <v>61.58176199999999</v>
      </c>
      <c r="H198" s="152">
        <f>D198*G198</f>
        <v>43353.560448</v>
      </c>
    </row>
    <row r="199" spans="1:8" s="7" customFormat="1" ht="15">
      <c r="A199" s="226" t="s">
        <v>16</v>
      </c>
      <c r="B199" s="226"/>
      <c r="C199" s="222"/>
      <c r="D199" s="208"/>
      <c r="E199" s="226"/>
      <c r="F199" s="209"/>
      <c r="G199" s="153"/>
      <c r="H199" s="153">
        <f>SUM(H197:H198)</f>
        <v>88685.09337599999</v>
      </c>
    </row>
    <row r="200" spans="1:8" ht="15">
      <c r="A200" s="244" t="s">
        <v>109</v>
      </c>
      <c r="B200" s="244"/>
      <c r="C200" s="244"/>
      <c r="D200" s="218"/>
      <c r="E200" s="219"/>
      <c r="F200" s="220"/>
      <c r="G200" s="221"/>
      <c r="H200" s="223">
        <f>+H14+H29+H37+H41+H48+H54+H59+H64+H89+H159+H167+H175+H190+H195+H199</f>
        <v>755563.406366132</v>
      </c>
    </row>
    <row r="201" ht="15">
      <c r="H201" s="13" t="s">
        <v>136</v>
      </c>
    </row>
    <row r="203" ht="15">
      <c r="H203" s="297"/>
    </row>
    <row r="205" spans="2:8" ht="15">
      <c r="B205" s="156" t="s">
        <v>386</v>
      </c>
      <c r="C205" s="156"/>
      <c r="D205" s="156"/>
      <c r="F205" s="246" t="s">
        <v>386</v>
      </c>
      <c r="G205" s="246"/>
      <c r="H205" s="246"/>
    </row>
    <row r="206" spans="2:8" ht="15">
      <c r="B206" s="156" t="s">
        <v>389</v>
      </c>
      <c r="C206" s="156"/>
      <c r="D206" s="156"/>
      <c r="F206" s="246" t="s">
        <v>388</v>
      </c>
      <c r="G206" s="246"/>
      <c r="H206" s="246"/>
    </row>
    <row r="207" spans="2:8" ht="15">
      <c r="B207" s="156" t="s">
        <v>390</v>
      </c>
      <c r="C207" s="156"/>
      <c r="D207" s="156"/>
      <c r="F207" s="246" t="s">
        <v>387</v>
      </c>
      <c r="G207" s="246"/>
      <c r="H207" s="246"/>
    </row>
  </sheetData>
  <mergeCells count="36">
    <mergeCell ref="A37:G37"/>
    <mergeCell ref="A41:G41"/>
    <mergeCell ref="A48:G48"/>
    <mergeCell ref="A54:G54"/>
    <mergeCell ref="A59:G59"/>
    <mergeCell ref="F206:H206"/>
    <mergeCell ref="F207:H207"/>
    <mergeCell ref="A10:H10"/>
    <mergeCell ref="C65:H65"/>
    <mergeCell ref="C66:H66"/>
    <mergeCell ref="C72:H72"/>
    <mergeCell ref="C30:H30"/>
    <mergeCell ref="C38:H38"/>
    <mergeCell ref="C42:H42"/>
    <mergeCell ref="C49:H49"/>
    <mergeCell ref="C55:H55"/>
    <mergeCell ref="F205:H205"/>
    <mergeCell ref="C196:H196"/>
    <mergeCell ref="A200:C200"/>
    <mergeCell ref="A14:G14"/>
    <mergeCell ref="A29:G29"/>
    <mergeCell ref="C141:H141"/>
    <mergeCell ref="C160:H160"/>
    <mergeCell ref="C168:H168"/>
    <mergeCell ref="C60:H60"/>
    <mergeCell ref="C76:H76"/>
    <mergeCell ref="A64:G64"/>
    <mergeCell ref="C90:H90"/>
    <mergeCell ref="A1:H3"/>
    <mergeCell ref="A4:H5"/>
    <mergeCell ref="A6:A9"/>
    <mergeCell ref="B6:E6"/>
    <mergeCell ref="F6:H9"/>
    <mergeCell ref="B7:E7"/>
    <mergeCell ref="B8:E8"/>
    <mergeCell ref="B9:E9"/>
  </mergeCells>
  <printOptions horizontalCentered="1"/>
  <pageMargins left="0.5118110236220472" right="0.5118110236220472" top="0.7874015748031497" bottom="0.7874015748031497" header="0.5118110236220472" footer="0.5118110236220472"/>
  <pageSetup fitToHeight="10" fitToWidth="1" horizontalDpi="300" verticalDpi="300" orientation="landscape" paperSize="9" scale="52" r:id="rId2"/>
  <rowBreaks count="1" manualBreakCount="1">
    <brk id="122" max="16383" man="1"/>
  </rowBreaks>
  <drawing r:id="rId1"/>
</worksheet>
</file>

<file path=xl/worksheets/sheet2.xml><?xml version="1.0" encoding="utf-8"?>
<worksheet xmlns="http://schemas.openxmlformats.org/spreadsheetml/2006/main" xmlns:r="http://schemas.openxmlformats.org/officeDocument/2006/relationships">
  <dimension ref="A1:D51"/>
  <sheetViews>
    <sheetView workbookViewId="0" topLeftCell="A4">
      <selection activeCell="F57" sqref="F57"/>
    </sheetView>
  </sheetViews>
  <sheetFormatPr defaultColWidth="9.140625" defaultRowHeight="15"/>
  <cols>
    <col min="1" max="1" width="11.28125" style="0" bestFit="1" customWidth="1"/>
    <col min="2" max="2" width="32.57421875" style="0" bestFit="1" customWidth="1"/>
    <col min="3" max="3" width="9.28125" style="0" bestFit="1" customWidth="1"/>
    <col min="4" max="4" width="16.00390625" style="0" customWidth="1"/>
  </cols>
  <sheetData>
    <row r="1" spans="1:4" ht="15">
      <c r="A1" s="249" t="s">
        <v>211</v>
      </c>
      <c r="B1" s="250"/>
      <c r="C1" s="250"/>
      <c r="D1" s="251"/>
    </row>
    <row r="2" spans="1:4" ht="15">
      <c r="A2" s="30"/>
      <c r="B2" s="31"/>
      <c r="C2" s="31"/>
      <c r="D2" s="32"/>
    </row>
    <row r="3" spans="1:4" ht="15">
      <c r="A3" s="33" t="s">
        <v>212</v>
      </c>
      <c r="B3" s="34" t="s">
        <v>213</v>
      </c>
      <c r="C3" s="34" t="s">
        <v>214</v>
      </c>
      <c r="D3" s="35" t="s">
        <v>215</v>
      </c>
    </row>
    <row r="4" spans="1:4" ht="15">
      <c r="A4" s="30"/>
      <c r="B4" s="31"/>
      <c r="C4" s="36"/>
      <c r="D4" s="37"/>
    </row>
    <row r="5" spans="1:4" ht="15">
      <c r="A5" s="38" t="s">
        <v>216</v>
      </c>
      <c r="B5" s="31"/>
      <c r="C5" s="31"/>
      <c r="D5" s="39"/>
    </row>
    <row r="6" spans="1:4" ht="15">
      <c r="A6" s="30"/>
      <c r="B6" s="31"/>
      <c r="C6" s="31"/>
      <c r="D6" s="32"/>
    </row>
    <row r="7" spans="1:4" ht="15">
      <c r="A7" s="30" t="s">
        <v>217</v>
      </c>
      <c r="B7" s="31" t="s">
        <v>218</v>
      </c>
      <c r="C7" s="40">
        <v>0</v>
      </c>
      <c r="D7" s="41">
        <v>0</v>
      </c>
    </row>
    <row r="8" spans="1:4" ht="15">
      <c r="A8" s="30" t="s">
        <v>219</v>
      </c>
      <c r="B8" s="31" t="s">
        <v>220</v>
      </c>
      <c r="C8" s="40">
        <v>0.015</v>
      </c>
      <c r="D8" s="41">
        <v>0.015</v>
      </c>
    </row>
    <row r="9" spans="1:4" ht="15">
      <c r="A9" s="30" t="s">
        <v>221</v>
      </c>
      <c r="B9" s="31" t="s">
        <v>222</v>
      </c>
      <c r="C9" s="40">
        <v>0.01</v>
      </c>
      <c r="D9" s="41">
        <v>0.01</v>
      </c>
    </row>
    <row r="10" spans="1:4" ht="15">
      <c r="A10" s="30" t="s">
        <v>223</v>
      </c>
      <c r="B10" s="31" t="s">
        <v>224</v>
      </c>
      <c r="C10" s="40">
        <v>0.002</v>
      </c>
      <c r="D10" s="41">
        <v>0.002</v>
      </c>
    </row>
    <row r="11" spans="1:4" ht="15">
      <c r="A11" s="30" t="s">
        <v>225</v>
      </c>
      <c r="B11" s="31" t="s">
        <v>226</v>
      </c>
      <c r="C11" s="40">
        <v>0.006</v>
      </c>
      <c r="D11" s="41">
        <v>0.006</v>
      </c>
    </row>
    <row r="12" spans="1:4" ht="15">
      <c r="A12" s="30" t="s">
        <v>227</v>
      </c>
      <c r="B12" s="31" t="s">
        <v>228</v>
      </c>
      <c r="C12" s="40">
        <v>0.025</v>
      </c>
      <c r="D12" s="41">
        <v>0.025</v>
      </c>
    </row>
    <row r="13" spans="1:4" ht="15">
      <c r="A13" s="30" t="s">
        <v>229</v>
      </c>
      <c r="B13" s="31" t="s">
        <v>230</v>
      </c>
      <c r="C13" s="40">
        <v>0.03</v>
      </c>
      <c r="D13" s="41">
        <v>0.03</v>
      </c>
    </row>
    <row r="14" spans="1:4" ht="15">
      <c r="A14" s="30" t="s">
        <v>231</v>
      </c>
      <c r="B14" s="31" t="s">
        <v>232</v>
      </c>
      <c r="C14" s="40">
        <v>0.08</v>
      </c>
      <c r="D14" s="41">
        <v>0.08</v>
      </c>
    </row>
    <row r="15" spans="1:4" ht="15">
      <c r="A15" s="30" t="s">
        <v>233</v>
      </c>
      <c r="B15" s="31" t="s">
        <v>234</v>
      </c>
      <c r="C15" s="40">
        <v>0</v>
      </c>
      <c r="D15" s="41">
        <v>0</v>
      </c>
    </row>
    <row r="16" spans="1:4" ht="15">
      <c r="A16" s="30"/>
      <c r="B16" s="42" t="s">
        <v>235</v>
      </c>
      <c r="C16" s="43">
        <f>SUM(C7:C15)</f>
        <v>0.16799999999999998</v>
      </c>
      <c r="D16" s="44">
        <f>SUM(D7:D15)</f>
        <v>0.16799999999999998</v>
      </c>
    </row>
    <row r="17" spans="1:4" ht="15">
      <c r="A17" s="30"/>
      <c r="B17" s="31"/>
      <c r="C17" s="40"/>
      <c r="D17" s="41"/>
    </row>
    <row r="18" spans="1:4" ht="15">
      <c r="A18" s="30"/>
      <c r="B18" s="31"/>
      <c r="C18" s="40"/>
      <c r="D18" s="41"/>
    </row>
    <row r="19" spans="1:4" ht="15">
      <c r="A19" s="38" t="s">
        <v>236</v>
      </c>
      <c r="B19" s="31"/>
      <c r="C19" s="40"/>
      <c r="D19" s="41"/>
    </row>
    <row r="20" spans="1:4" ht="15">
      <c r="A20" s="30"/>
      <c r="B20" s="31"/>
      <c r="C20" s="40"/>
      <c r="D20" s="41"/>
    </row>
    <row r="21" spans="1:4" ht="15">
      <c r="A21" s="30" t="s">
        <v>237</v>
      </c>
      <c r="B21" s="31" t="s">
        <v>238</v>
      </c>
      <c r="C21" s="40">
        <v>0.1793</v>
      </c>
      <c r="D21" s="41" t="s">
        <v>239</v>
      </c>
    </row>
    <row r="22" spans="1:4" ht="15">
      <c r="A22" s="30" t="s">
        <v>240</v>
      </c>
      <c r="B22" s="31" t="s">
        <v>241</v>
      </c>
      <c r="C22" s="40">
        <v>0.0424</v>
      </c>
      <c r="D22" s="41" t="s">
        <v>239</v>
      </c>
    </row>
    <row r="23" spans="1:4" ht="15">
      <c r="A23" s="30" t="s">
        <v>242</v>
      </c>
      <c r="B23" s="31" t="s">
        <v>243</v>
      </c>
      <c r="C23" s="40">
        <v>0.0087</v>
      </c>
      <c r="D23" s="41">
        <v>0.0067</v>
      </c>
    </row>
    <row r="24" spans="1:4" ht="15">
      <c r="A24" s="30" t="s">
        <v>244</v>
      </c>
      <c r="B24" s="31" t="s">
        <v>245</v>
      </c>
      <c r="C24" s="40">
        <v>0.1078</v>
      </c>
      <c r="D24" s="41">
        <v>0.0833</v>
      </c>
    </row>
    <row r="25" spans="1:4" ht="15">
      <c r="A25" s="30" t="s">
        <v>246</v>
      </c>
      <c r="B25" s="31" t="s">
        <v>247</v>
      </c>
      <c r="C25" s="40">
        <v>0.0007</v>
      </c>
      <c r="D25" s="41">
        <v>0.0006</v>
      </c>
    </row>
    <row r="26" spans="1:4" ht="15">
      <c r="A26" s="30" t="s">
        <v>248</v>
      </c>
      <c r="B26" s="31" t="s">
        <v>249</v>
      </c>
      <c r="C26" s="40">
        <v>0.0072</v>
      </c>
      <c r="D26" s="41">
        <v>0.0056</v>
      </c>
    </row>
    <row r="27" spans="1:4" ht="15">
      <c r="A27" s="30" t="s">
        <v>250</v>
      </c>
      <c r="B27" s="31" t="s">
        <v>251</v>
      </c>
      <c r="C27" s="40">
        <v>0.0153</v>
      </c>
      <c r="D27" s="41" t="s">
        <v>239</v>
      </c>
    </row>
    <row r="28" spans="1:4" ht="15">
      <c r="A28" s="30" t="s">
        <v>252</v>
      </c>
      <c r="B28" s="31" t="s">
        <v>253</v>
      </c>
      <c r="C28" s="40">
        <v>0.0011</v>
      </c>
      <c r="D28" s="41">
        <v>0.0008</v>
      </c>
    </row>
    <row r="29" spans="1:4" ht="15">
      <c r="A29" s="30" t="s">
        <v>254</v>
      </c>
      <c r="B29" s="31" t="s">
        <v>255</v>
      </c>
      <c r="C29" s="40">
        <v>0.0774</v>
      </c>
      <c r="D29" s="41">
        <v>0.0598</v>
      </c>
    </row>
    <row r="30" spans="1:4" ht="15">
      <c r="A30" s="30" t="s">
        <v>256</v>
      </c>
      <c r="B30" s="31" t="s">
        <v>257</v>
      </c>
      <c r="C30" s="40">
        <v>0.0003</v>
      </c>
      <c r="D30" s="41">
        <v>0.0003</v>
      </c>
    </row>
    <row r="31" spans="1:4" ht="15">
      <c r="A31" s="30"/>
      <c r="B31" s="42" t="s">
        <v>258</v>
      </c>
      <c r="C31" s="43">
        <f>SUM(C21:C30)</f>
        <v>0.4402</v>
      </c>
      <c r="D31" s="44">
        <f>SUM(D21:D30)</f>
        <v>0.1571</v>
      </c>
    </row>
    <row r="32" spans="1:4" ht="15">
      <c r="A32" s="30"/>
      <c r="B32" s="31"/>
      <c r="C32" s="40"/>
      <c r="D32" s="41"/>
    </row>
    <row r="33" spans="1:4" ht="15">
      <c r="A33" s="30"/>
      <c r="B33" s="31"/>
      <c r="C33" s="40"/>
      <c r="D33" s="41"/>
    </row>
    <row r="34" spans="1:4" ht="15">
      <c r="A34" s="38" t="s">
        <v>259</v>
      </c>
      <c r="B34" s="31"/>
      <c r="C34" s="40"/>
      <c r="D34" s="41"/>
    </row>
    <row r="35" spans="1:4" ht="15">
      <c r="A35" s="30"/>
      <c r="B35" s="31"/>
      <c r="C35" s="40"/>
      <c r="D35" s="41"/>
    </row>
    <row r="36" spans="1:4" ht="15">
      <c r="A36" s="30" t="s">
        <v>260</v>
      </c>
      <c r="B36" s="31" t="s">
        <v>261</v>
      </c>
      <c r="C36" s="40">
        <v>0.0449</v>
      </c>
      <c r="D36" s="41">
        <v>0.0347</v>
      </c>
    </row>
    <row r="37" spans="1:4" ht="15">
      <c r="A37" s="30" t="s">
        <v>262</v>
      </c>
      <c r="B37" s="31" t="s">
        <v>263</v>
      </c>
      <c r="C37" s="40">
        <v>0.0011</v>
      </c>
      <c r="D37" s="41">
        <v>0.0008</v>
      </c>
    </row>
    <row r="38" spans="1:4" ht="15">
      <c r="A38" s="30" t="s">
        <v>264</v>
      </c>
      <c r="B38" s="31" t="s">
        <v>265</v>
      </c>
      <c r="C38" s="40">
        <v>0.0505</v>
      </c>
      <c r="D38" s="41">
        <v>0.039</v>
      </c>
    </row>
    <row r="39" spans="1:4" ht="15">
      <c r="A39" s="30" t="s">
        <v>266</v>
      </c>
      <c r="B39" s="31" t="s">
        <v>267</v>
      </c>
      <c r="C39" s="40">
        <v>0.0365</v>
      </c>
      <c r="D39" s="41">
        <v>0.0282</v>
      </c>
    </row>
    <row r="40" spans="1:4" ht="15">
      <c r="A40" s="30" t="s">
        <v>268</v>
      </c>
      <c r="B40" s="31" t="s">
        <v>269</v>
      </c>
      <c r="C40" s="40">
        <v>0.0038</v>
      </c>
      <c r="D40" s="41">
        <v>0.0029</v>
      </c>
    </row>
    <row r="41" spans="1:4" ht="15">
      <c r="A41" s="30"/>
      <c r="B41" s="42" t="s">
        <v>258</v>
      </c>
      <c r="C41" s="43">
        <f>SUM(C36:C40)</f>
        <v>0.1368</v>
      </c>
      <c r="D41" s="44">
        <f>SUM(D36:D40)</f>
        <v>0.10560000000000001</v>
      </c>
    </row>
    <row r="42" spans="1:4" ht="15">
      <c r="A42" s="30"/>
      <c r="B42" s="31"/>
      <c r="C42" s="40"/>
      <c r="D42" s="41"/>
    </row>
    <row r="43" spans="1:4" ht="15">
      <c r="A43" s="30"/>
      <c r="B43" s="31"/>
      <c r="C43" s="40"/>
      <c r="D43" s="41"/>
    </row>
    <row r="44" spans="1:4" ht="15">
      <c r="A44" s="38" t="s">
        <v>270</v>
      </c>
      <c r="B44" s="31"/>
      <c r="C44" s="40"/>
      <c r="D44" s="41"/>
    </row>
    <row r="45" spans="1:4" ht="15">
      <c r="A45" s="30"/>
      <c r="B45" s="31"/>
      <c r="C45" s="40"/>
      <c r="D45" s="41"/>
    </row>
    <row r="46" spans="1:4" ht="26.25">
      <c r="A46" s="30" t="s">
        <v>271</v>
      </c>
      <c r="B46" s="45" t="s">
        <v>272</v>
      </c>
      <c r="C46" s="40">
        <v>0.074</v>
      </c>
      <c r="D46" s="41">
        <v>0.0264</v>
      </c>
    </row>
    <row r="47" spans="1:4" ht="51.75">
      <c r="A47" s="46" t="s">
        <v>273</v>
      </c>
      <c r="B47" s="45" t="s">
        <v>274</v>
      </c>
      <c r="C47" s="47">
        <v>0.0038</v>
      </c>
      <c r="D47" s="48">
        <v>0.0029</v>
      </c>
    </row>
    <row r="48" spans="1:4" ht="15">
      <c r="A48" s="30"/>
      <c r="B48" s="42" t="s">
        <v>258</v>
      </c>
      <c r="C48" s="49">
        <f>SUM(C46:C47)</f>
        <v>0.0778</v>
      </c>
      <c r="D48" s="50">
        <f>SUM(D46:D47)</f>
        <v>0.0293</v>
      </c>
    </row>
    <row r="49" spans="1:4" ht="15">
      <c r="A49" s="30"/>
      <c r="B49" s="31"/>
      <c r="C49" s="49"/>
      <c r="D49" s="50"/>
    </row>
    <row r="50" spans="1:4" ht="15">
      <c r="A50" s="30"/>
      <c r="B50" s="31"/>
      <c r="C50" s="36"/>
      <c r="D50" s="37"/>
    </row>
    <row r="51" spans="1:4" ht="15.75" thickBot="1">
      <c r="A51" s="252" t="s">
        <v>275</v>
      </c>
      <c r="B51" s="253"/>
      <c r="C51" s="51">
        <f>C48+C41+C31+C16</f>
        <v>0.8228</v>
      </c>
      <c r="D51" s="52">
        <f>D48+D41+D31+D16</f>
        <v>0.46</v>
      </c>
    </row>
  </sheetData>
  <mergeCells count="2">
    <mergeCell ref="A1:D1"/>
    <mergeCell ref="A51:B51"/>
  </mergeCells>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2:M139"/>
  <sheetViews>
    <sheetView zoomScale="80" zoomScaleNormal="80" workbookViewId="0" topLeftCell="A100">
      <selection activeCell="A127" sqref="A127:B127"/>
    </sheetView>
  </sheetViews>
  <sheetFormatPr defaultColWidth="9.140625" defaultRowHeight="15"/>
  <cols>
    <col min="1" max="1" width="17.7109375" style="0" bestFit="1" customWidth="1"/>
    <col min="2" max="2" width="107.140625" style="0" customWidth="1"/>
    <col min="3" max="3" width="3.28125" style="0" customWidth="1"/>
    <col min="4" max="5" width="10.140625" style="0" customWidth="1"/>
    <col min="6" max="6" width="12.421875" style="0" customWidth="1"/>
    <col min="7" max="7" width="7.8515625" style="0" customWidth="1"/>
    <col min="8" max="8" width="43.28125" style="0" customWidth="1"/>
    <col min="9" max="9" width="3.140625" style="0" customWidth="1"/>
    <col min="10" max="10" width="10.140625" style="0" customWidth="1"/>
    <col min="11" max="11" width="11.28125" style="0" customWidth="1"/>
    <col min="12" max="13" width="11.28125" style="0" bestFit="1" customWidth="1"/>
    <col min="14" max="1025" width="8.7109375" style="0" customWidth="1"/>
  </cols>
  <sheetData>
    <row r="2" spans="1:13" ht="15">
      <c r="A2" s="14" t="s">
        <v>24</v>
      </c>
      <c r="B2" s="14" t="s">
        <v>574</v>
      </c>
      <c r="C2" s="14" t="s">
        <v>13</v>
      </c>
      <c r="D2" s="14" t="s">
        <v>575</v>
      </c>
      <c r="E2" s="14">
        <v>126.69</v>
      </c>
      <c r="F2" s="14"/>
      <c r="G2" s="14"/>
      <c r="H2" s="14"/>
      <c r="I2" s="14"/>
      <c r="J2" s="14"/>
      <c r="K2" s="14"/>
      <c r="L2" s="170"/>
      <c r="M2" s="170"/>
    </row>
    <row r="3" spans="1:13" ht="15">
      <c r="A3" s="14" t="s">
        <v>24</v>
      </c>
      <c r="B3" s="14" t="s">
        <v>574</v>
      </c>
      <c r="C3" s="14" t="s">
        <v>13</v>
      </c>
      <c r="D3" s="14" t="s">
        <v>575</v>
      </c>
      <c r="E3" s="14">
        <v>126.69</v>
      </c>
      <c r="F3" s="14" t="s">
        <v>137</v>
      </c>
      <c r="G3" s="14" t="s">
        <v>138</v>
      </c>
      <c r="H3" s="14" t="s">
        <v>139</v>
      </c>
      <c r="I3" s="14" t="s">
        <v>140</v>
      </c>
      <c r="J3" s="14" t="s">
        <v>575</v>
      </c>
      <c r="K3" s="14">
        <v>0.0243</v>
      </c>
      <c r="L3" s="170">
        <v>47.55</v>
      </c>
      <c r="M3" s="171">
        <f aca="true" t="shared" si="0" ref="M3:M13">K3*L3</f>
        <v>1.155465</v>
      </c>
    </row>
    <row r="4" spans="1:13" ht="15">
      <c r="A4" s="14" t="s">
        <v>24</v>
      </c>
      <c r="B4" s="14" t="s">
        <v>574</v>
      </c>
      <c r="C4" s="14" t="s">
        <v>13</v>
      </c>
      <c r="D4" s="14" t="s">
        <v>575</v>
      </c>
      <c r="E4" s="14">
        <v>126.69</v>
      </c>
      <c r="F4" s="14" t="s">
        <v>137</v>
      </c>
      <c r="G4" s="14">
        <v>39417</v>
      </c>
      <c r="H4" s="14" t="s">
        <v>576</v>
      </c>
      <c r="I4" s="14" t="s">
        <v>577</v>
      </c>
      <c r="J4" s="14" t="s">
        <v>189</v>
      </c>
      <c r="K4" s="14">
        <v>2.106</v>
      </c>
      <c r="L4" s="170">
        <v>30.23</v>
      </c>
      <c r="M4" s="171">
        <f t="shared" si="0"/>
        <v>63.664379999999994</v>
      </c>
    </row>
    <row r="5" spans="1:13" ht="15">
      <c r="A5" s="14" t="s">
        <v>24</v>
      </c>
      <c r="B5" s="14" t="s">
        <v>574</v>
      </c>
      <c r="C5" s="14" t="s">
        <v>13</v>
      </c>
      <c r="D5" s="14" t="s">
        <v>575</v>
      </c>
      <c r="E5" s="14">
        <v>126.69</v>
      </c>
      <c r="F5" s="14" t="s">
        <v>137</v>
      </c>
      <c r="G5" s="14" t="s">
        <v>141</v>
      </c>
      <c r="H5" s="14" t="s">
        <v>142</v>
      </c>
      <c r="I5" s="14" t="s">
        <v>33</v>
      </c>
      <c r="J5" s="14" t="s">
        <v>189</v>
      </c>
      <c r="K5" s="14">
        <v>0.7604</v>
      </c>
      <c r="L5" s="170">
        <v>12.37</v>
      </c>
      <c r="M5" s="171">
        <f t="shared" si="0"/>
        <v>9.406147999999998</v>
      </c>
    </row>
    <row r="6" spans="1:13" ht="15">
      <c r="A6" s="14" t="s">
        <v>24</v>
      </c>
      <c r="B6" s="14" t="s">
        <v>574</v>
      </c>
      <c r="C6" s="14" t="s">
        <v>13</v>
      </c>
      <c r="D6" s="14" t="s">
        <v>575</v>
      </c>
      <c r="E6" s="14">
        <v>126.69</v>
      </c>
      <c r="F6" s="14" t="s">
        <v>137</v>
      </c>
      <c r="G6" s="14" t="s">
        <v>143</v>
      </c>
      <c r="H6" s="14" t="s">
        <v>144</v>
      </c>
      <c r="I6" s="14" t="s">
        <v>33</v>
      </c>
      <c r="J6" s="14" t="s">
        <v>191</v>
      </c>
      <c r="K6" s="14">
        <v>1.991</v>
      </c>
      <c r="L6" s="170">
        <v>14.03</v>
      </c>
      <c r="M6" s="171">
        <f t="shared" si="0"/>
        <v>27.93373</v>
      </c>
    </row>
    <row r="7" spans="1:13" ht="15">
      <c r="A7" s="14" t="s">
        <v>24</v>
      </c>
      <c r="B7" s="14" t="s">
        <v>574</v>
      </c>
      <c r="C7" s="14" t="s">
        <v>13</v>
      </c>
      <c r="D7" s="14" t="s">
        <v>575</v>
      </c>
      <c r="E7" s="14">
        <v>126.69</v>
      </c>
      <c r="F7" s="14" t="s">
        <v>137</v>
      </c>
      <c r="G7" s="14" t="s">
        <v>145</v>
      </c>
      <c r="H7" s="14" t="s">
        <v>146</v>
      </c>
      <c r="I7" s="14" t="s">
        <v>33</v>
      </c>
      <c r="J7" s="14" t="s">
        <v>189</v>
      </c>
      <c r="K7" s="14">
        <v>2.5027</v>
      </c>
      <c r="L7" s="170">
        <v>0.36</v>
      </c>
      <c r="M7" s="171">
        <f t="shared" si="0"/>
        <v>0.9009719999999999</v>
      </c>
    </row>
    <row r="8" spans="1:13" ht="15">
      <c r="A8" s="14" t="s">
        <v>24</v>
      </c>
      <c r="B8" s="14" t="s">
        <v>574</v>
      </c>
      <c r="C8" s="14" t="s">
        <v>13</v>
      </c>
      <c r="D8" s="14" t="s">
        <v>575</v>
      </c>
      <c r="E8" s="14">
        <v>126.69</v>
      </c>
      <c r="F8" s="14" t="s">
        <v>137</v>
      </c>
      <c r="G8" s="14" t="s">
        <v>147</v>
      </c>
      <c r="H8" s="14" t="s">
        <v>148</v>
      </c>
      <c r="I8" s="14" t="s">
        <v>33</v>
      </c>
      <c r="J8" s="14" t="s">
        <v>189</v>
      </c>
      <c r="K8" s="14">
        <v>0.7407</v>
      </c>
      <c r="L8" s="170">
        <v>3.17</v>
      </c>
      <c r="M8" s="171">
        <f t="shared" si="0"/>
        <v>2.348019</v>
      </c>
    </row>
    <row r="9" spans="1:13" ht="15">
      <c r="A9" s="14" t="s">
        <v>24</v>
      </c>
      <c r="B9" s="14" t="s">
        <v>574</v>
      </c>
      <c r="C9" s="14" t="s">
        <v>13</v>
      </c>
      <c r="D9" s="14" t="s">
        <v>575</v>
      </c>
      <c r="E9" s="14">
        <v>126.69</v>
      </c>
      <c r="F9" s="14" t="s">
        <v>137</v>
      </c>
      <c r="G9" s="14" t="s">
        <v>149</v>
      </c>
      <c r="H9" s="14" t="s">
        <v>578</v>
      </c>
      <c r="I9" s="14" t="s">
        <v>111</v>
      </c>
      <c r="J9" s="14" t="s">
        <v>189</v>
      </c>
      <c r="K9" s="14">
        <v>1.0327</v>
      </c>
      <c r="L9" s="170">
        <v>3.97</v>
      </c>
      <c r="M9" s="171">
        <f t="shared" si="0"/>
        <v>4.099819</v>
      </c>
    </row>
    <row r="10" spans="1:13" ht="15">
      <c r="A10" s="14" t="s">
        <v>24</v>
      </c>
      <c r="B10" s="14" t="s">
        <v>574</v>
      </c>
      <c r="C10" s="14" t="s">
        <v>13</v>
      </c>
      <c r="D10" s="14" t="s">
        <v>575</v>
      </c>
      <c r="E10" s="14">
        <v>126.69</v>
      </c>
      <c r="F10" s="14" t="s">
        <v>137</v>
      </c>
      <c r="G10" s="14" t="s">
        <v>150</v>
      </c>
      <c r="H10" s="14" t="s">
        <v>151</v>
      </c>
      <c r="I10" s="14" t="s">
        <v>44</v>
      </c>
      <c r="J10" s="14" t="s">
        <v>575</v>
      </c>
      <c r="K10" s="14">
        <v>20.0077</v>
      </c>
      <c r="L10" s="170">
        <v>0.12</v>
      </c>
      <c r="M10" s="171">
        <f t="shared" si="0"/>
        <v>2.400924</v>
      </c>
    </row>
    <row r="11" spans="1:13" ht="15">
      <c r="A11" s="14" t="s">
        <v>24</v>
      </c>
      <c r="B11" s="14" t="s">
        <v>574</v>
      </c>
      <c r="C11" s="14" t="s">
        <v>13</v>
      </c>
      <c r="D11" s="14" t="s">
        <v>575</v>
      </c>
      <c r="E11" s="14">
        <v>126.69</v>
      </c>
      <c r="F11" s="14" t="s">
        <v>137</v>
      </c>
      <c r="G11" s="14" t="s">
        <v>152</v>
      </c>
      <c r="H11" s="14" t="s">
        <v>153</v>
      </c>
      <c r="I11" s="14" t="s">
        <v>44</v>
      </c>
      <c r="J11" s="14" t="s">
        <v>575</v>
      </c>
      <c r="K11" s="14">
        <v>0.8076</v>
      </c>
      <c r="L11" s="170">
        <v>0.27</v>
      </c>
      <c r="M11" s="171">
        <f t="shared" si="0"/>
        <v>0.21805200000000002</v>
      </c>
    </row>
    <row r="12" spans="1:13" ht="15">
      <c r="A12" s="14" t="s">
        <v>24</v>
      </c>
      <c r="B12" s="14" t="s">
        <v>574</v>
      </c>
      <c r="C12" s="14" t="s">
        <v>13</v>
      </c>
      <c r="D12" s="14" t="s">
        <v>575</v>
      </c>
      <c r="E12" s="14">
        <v>126.69</v>
      </c>
      <c r="F12" s="14" t="s">
        <v>154</v>
      </c>
      <c r="G12" s="14" t="s">
        <v>155</v>
      </c>
      <c r="H12" s="14" t="s">
        <v>156</v>
      </c>
      <c r="I12" s="14" t="s">
        <v>135</v>
      </c>
      <c r="J12" s="14" t="s">
        <v>189</v>
      </c>
      <c r="K12" s="14">
        <v>0.5449</v>
      </c>
      <c r="L12" s="170">
        <v>22.01</v>
      </c>
      <c r="M12" s="171">
        <f t="shared" si="0"/>
        <v>11.993249000000002</v>
      </c>
    </row>
    <row r="13" spans="1:13" ht="15">
      <c r="A13" s="14" t="s">
        <v>24</v>
      </c>
      <c r="B13" s="14" t="s">
        <v>574</v>
      </c>
      <c r="C13" s="14" t="s">
        <v>13</v>
      </c>
      <c r="D13" s="14" t="s">
        <v>575</v>
      </c>
      <c r="E13" s="14">
        <v>126.69</v>
      </c>
      <c r="F13" s="14" t="s">
        <v>154</v>
      </c>
      <c r="G13" s="14" t="s">
        <v>157</v>
      </c>
      <c r="H13" s="14" t="s">
        <v>158</v>
      </c>
      <c r="I13" s="14" t="s">
        <v>135</v>
      </c>
      <c r="J13" s="14" t="s">
        <v>191</v>
      </c>
      <c r="K13" s="14">
        <v>0.1362</v>
      </c>
      <c r="L13" s="170">
        <v>18.84</v>
      </c>
      <c r="M13" s="171">
        <f t="shared" si="0"/>
        <v>2.5660079999999996</v>
      </c>
    </row>
    <row r="14" ht="15">
      <c r="M14" s="171">
        <f>SUM(M3:M13)</f>
        <v>126.68676599999999</v>
      </c>
    </row>
    <row r="15" ht="15">
      <c r="M15" s="171"/>
    </row>
    <row r="16" spans="1:13" ht="15">
      <c r="A16" s="14" t="s">
        <v>26</v>
      </c>
      <c r="B16" s="14" t="s">
        <v>426</v>
      </c>
      <c r="C16" s="14" t="s">
        <v>13</v>
      </c>
      <c r="D16" s="14" t="s">
        <v>575</v>
      </c>
      <c r="E16" s="172">
        <v>90.674302</v>
      </c>
      <c r="F16" s="14"/>
      <c r="G16" s="14"/>
      <c r="H16" s="14"/>
      <c r="I16" s="14"/>
      <c r="J16" s="14"/>
      <c r="K16" s="14"/>
      <c r="L16" s="170"/>
      <c r="M16" s="170"/>
    </row>
    <row r="17" spans="1:13" ht="15">
      <c r="A17" s="14" t="s">
        <v>26</v>
      </c>
      <c r="B17" s="14" t="s">
        <v>426</v>
      </c>
      <c r="C17" s="14" t="s">
        <v>13</v>
      </c>
      <c r="D17" s="14" t="s">
        <v>575</v>
      </c>
      <c r="E17" s="172">
        <v>90.674302</v>
      </c>
      <c r="F17" s="14" t="s">
        <v>137</v>
      </c>
      <c r="G17" s="14">
        <v>39417</v>
      </c>
      <c r="H17" s="14" t="s">
        <v>579</v>
      </c>
      <c r="I17" s="14" t="s">
        <v>577</v>
      </c>
      <c r="J17" s="14" t="s">
        <v>189</v>
      </c>
      <c r="K17" s="14">
        <v>1.0665</v>
      </c>
      <c r="L17" s="170">
        <v>30.23</v>
      </c>
      <c r="M17" s="171">
        <f aca="true" t="shared" si="1" ref="M17:M26">K17*L17</f>
        <v>32.240295</v>
      </c>
    </row>
    <row r="18" spans="1:13" ht="15">
      <c r="A18" s="14" t="s">
        <v>26</v>
      </c>
      <c r="B18" s="14" t="s">
        <v>426</v>
      </c>
      <c r="C18" s="14" t="s">
        <v>13</v>
      </c>
      <c r="D18" s="14" t="s">
        <v>575</v>
      </c>
      <c r="E18" s="172">
        <v>90.674302</v>
      </c>
      <c r="F18" s="14" t="s">
        <v>137</v>
      </c>
      <c r="G18" s="14">
        <v>39427</v>
      </c>
      <c r="H18" s="14" t="s">
        <v>580</v>
      </c>
      <c r="I18" s="14" t="s">
        <v>33</v>
      </c>
      <c r="J18" s="14" t="s">
        <v>189</v>
      </c>
      <c r="K18" s="14">
        <v>2.4</v>
      </c>
      <c r="L18" s="170">
        <v>9.1</v>
      </c>
      <c r="M18" s="171">
        <f t="shared" si="1"/>
        <v>21.84</v>
      </c>
    </row>
    <row r="19" spans="1:13" ht="15">
      <c r="A19" s="14" t="s">
        <v>26</v>
      </c>
      <c r="B19" s="14" t="s">
        <v>426</v>
      </c>
      <c r="C19" s="14" t="s">
        <v>13</v>
      </c>
      <c r="D19" s="14" t="s">
        <v>575</v>
      </c>
      <c r="E19" s="172">
        <v>90.674302</v>
      </c>
      <c r="F19" s="14" t="s">
        <v>137</v>
      </c>
      <c r="G19" s="14">
        <v>39430</v>
      </c>
      <c r="H19" s="14" t="s">
        <v>581</v>
      </c>
      <c r="I19" s="14" t="s">
        <v>44</v>
      </c>
      <c r="J19" s="14" t="s">
        <v>189</v>
      </c>
      <c r="K19" s="14">
        <v>2.2122</v>
      </c>
      <c r="L19" s="170">
        <v>3.43</v>
      </c>
      <c r="M19" s="171">
        <f t="shared" si="1"/>
        <v>7.587846000000001</v>
      </c>
    </row>
    <row r="20" spans="1:13" ht="15">
      <c r="A20" s="14" t="s">
        <v>26</v>
      </c>
      <c r="B20" s="14" t="s">
        <v>426</v>
      </c>
      <c r="C20" s="14" t="s">
        <v>13</v>
      </c>
      <c r="D20" s="14" t="s">
        <v>575</v>
      </c>
      <c r="E20" s="172">
        <v>90.674302</v>
      </c>
      <c r="F20" s="14" t="s">
        <v>137</v>
      </c>
      <c r="G20" s="14">
        <v>39432</v>
      </c>
      <c r="H20" s="14" t="s">
        <v>148</v>
      </c>
      <c r="I20" s="14" t="s">
        <v>33</v>
      </c>
      <c r="J20" s="14" t="s">
        <v>189</v>
      </c>
      <c r="K20" s="14">
        <v>1.4404</v>
      </c>
      <c r="L20" s="170">
        <v>3.17</v>
      </c>
      <c r="M20" s="171">
        <f t="shared" si="1"/>
        <v>4.566068</v>
      </c>
    </row>
    <row r="21" spans="1:13" ht="15">
      <c r="A21" s="14" t="s">
        <v>26</v>
      </c>
      <c r="B21" s="14" t="s">
        <v>426</v>
      </c>
      <c r="C21" s="14" t="s">
        <v>13</v>
      </c>
      <c r="D21" s="14" t="s">
        <v>575</v>
      </c>
      <c r="E21" s="172">
        <v>90.674302</v>
      </c>
      <c r="F21" s="14" t="s">
        <v>137</v>
      </c>
      <c r="G21" s="14">
        <v>39434</v>
      </c>
      <c r="H21" s="14" t="s">
        <v>578</v>
      </c>
      <c r="I21" s="14" t="s">
        <v>111</v>
      </c>
      <c r="J21" s="14" t="s">
        <v>189</v>
      </c>
      <c r="K21" s="14">
        <v>0.5202</v>
      </c>
      <c r="L21" s="170">
        <v>3.97</v>
      </c>
      <c r="M21" s="171">
        <f t="shared" si="1"/>
        <v>2.065194</v>
      </c>
    </row>
    <row r="22" spans="1:13" ht="15">
      <c r="A22" s="14" t="s">
        <v>26</v>
      </c>
      <c r="B22" s="14" t="s">
        <v>426</v>
      </c>
      <c r="C22" s="14" t="s">
        <v>13</v>
      </c>
      <c r="D22" s="14" t="s">
        <v>575</v>
      </c>
      <c r="E22" s="172">
        <v>90.674302</v>
      </c>
      <c r="F22" s="14" t="s">
        <v>137</v>
      </c>
      <c r="G22" s="14">
        <v>39435</v>
      </c>
      <c r="H22" s="14" t="s">
        <v>151</v>
      </c>
      <c r="I22" s="14" t="s">
        <v>44</v>
      </c>
      <c r="J22" s="14" t="s">
        <v>575</v>
      </c>
      <c r="K22" s="14">
        <v>7.974</v>
      </c>
      <c r="L22" s="170">
        <v>0.12</v>
      </c>
      <c r="M22" s="171">
        <f t="shared" si="1"/>
        <v>0.95688</v>
      </c>
    </row>
    <row r="23" spans="1:13" ht="15">
      <c r="A23" s="14" t="s">
        <v>26</v>
      </c>
      <c r="B23" s="14" t="s">
        <v>426</v>
      </c>
      <c r="C23" s="14" t="s">
        <v>13</v>
      </c>
      <c r="D23" s="14" t="s">
        <v>575</v>
      </c>
      <c r="E23" s="172">
        <v>90.674302</v>
      </c>
      <c r="F23" s="14" t="s">
        <v>137</v>
      </c>
      <c r="G23" s="14">
        <v>40547</v>
      </c>
      <c r="H23" s="14" t="s">
        <v>582</v>
      </c>
      <c r="I23" s="14" t="s">
        <v>140</v>
      </c>
      <c r="J23" s="14" t="s">
        <v>575</v>
      </c>
      <c r="K23" s="14">
        <v>0.0221</v>
      </c>
      <c r="L23" s="170">
        <v>31.18</v>
      </c>
      <c r="M23" s="171">
        <f t="shared" si="1"/>
        <v>0.6890780000000001</v>
      </c>
    </row>
    <row r="24" spans="1:13" ht="15">
      <c r="A24" s="14" t="s">
        <v>26</v>
      </c>
      <c r="B24" s="14" t="s">
        <v>426</v>
      </c>
      <c r="C24" s="14" t="s">
        <v>13</v>
      </c>
      <c r="D24" s="14" t="s">
        <v>575</v>
      </c>
      <c r="E24" s="172">
        <v>90.674302</v>
      </c>
      <c r="F24" s="14" t="s">
        <v>137</v>
      </c>
      <c r="G24" s="14">
        <v>43131</v>
      </c>
      <c r="H24" s="14" t="s">
        <v>583</v>
      </c>
      <c r="I24" s="14" t="s">
        <v>111</v>
      </c>
      <c r="J24" s="14" t="s">
        <v>189</v>
      </c>
      <c r="K24" s="14">
        <v>0.0711</v>
      </c>
      <c r="L24" s="170">
        <v>29.21</v>
      </c>
      <c r="M24" s="171">
        <f t="shared" si="1"/>
        <v>2.076831</v>
      </c>
    </row>
    <row r="25" spans="1:13" ht="15">
      <c r="A25" s="14" t="s">
        <v>26</v>
      </c>
      <c r="B25" s="14" t="s">
        <v>426</v>
      </c>
      <c r="C25" s="14" t="s">
        <v>13</v>
      </c>
      <c r="D25" s="14" t="s">
        <v>575</v>
      </c>
      <c r="E25" s="172">
        <v>90.674302</v>
      </c>
      <c r="F25" s="14" t="s">
        <v>154</v>
      </c>
      <c r="G25" s="14">
        <v>88278</v>
      </c>
      <c r="H25" s="14" t="s">
        <v>156</v>
      </c>
      <c r="I25" s="14" t="s">
        <v>135</v>
      </c>
      <c r="J25" s="14" t="s">
        <v>189</v>
      </c>
      <c r="K25" s="14">
        <v>0.4566</v>
      </c>
      <c r="L25" s="170">
        <v>22.01</v>
      </c>
      <c r="M25" s="171">
        <f t="shared" si="1"/>
        <v>10.049766</v>
      </c>
    </row>
    <row r="26" spans="1:13" ht="15">
      <c r="A26" s="14" t="s">
        <v>26</v>
      </c>
      <c r="B26" s="14" t="s">
        <v>426</v>
      </c>
      <c r="C26" s="14" t="s">
        <v>13</v>
      </c>
      <c r="D26" s="14" t="s">
        <v>575</v>
      </c>
      <c r="E26" s="172">
        <v>90.674302</v>
      </c>
      <c r="F26" s="14" t="s">
        <v>154</v>
      </c>
      <c r="G26" s="14">
        <v>88316</v>
      </c>
      <c r="H26" s="14" t="s">
        <v>158</v>
      </c>
      <c r="I26" s="14" t="s">
        <v>135</v>
      </c>
      <c r="J26" s="14" t="s">
        <v>191</v>
      </c>
      <c r="K26" s="14">
        <v>0.4566</v>
      </c>
      <c r="L26" s="170">
        <v>18.84</v>
      </c>
      <c r="M26" s="171">
        <f t="shared" si="1"/>
        <v>8.602344</v>
      </c>
    </row>
    <row r="27" ht="15">
      <c r="M27" s="171">
        <f>SUM(M17:M26)</f>
        <v>90.67430200000001</v>
      </c>
    </row>
    <row r="29" spans="1:13" ht="15">
      <c r="A29" s="14" t="s">
        <v>28</v>
      </c>
      <c r="B29" s="14" t="s">
        <v>584</v>
      </c>
      <c r="C29" s="14" t="s">
        <v>33</v>
      </c>
      <c r="D29" s="14" t="s">
        <v>575</v>
      </c>
      <c r="E29" s="173">
        <f aca="true" t="shared" si="2" ref="E29:E35">M$36</f>
        <v>58.60565499999999</v>
      </c>
      <c r="F29" s="14"/>
      <c r="G29" s="14"/>
      <c r="H29" s="14"/>
      <c r="I29" s="14"/>
      <c r="J29" s="14"/>
      <c r="K29" s="14"/>
      <c r="L29" s="170"/>
      <c r="M29" s="170"/>
    </row>
    <row r="30" spans="1:13" ht="15">
      <c r="A30" s="14" t="s">
        <v>28</v>
      </c>
      <c r="B30" s="14" t="s">
        <v>584</v>
      </c>
      <c r="C30" s="14" t="s">
        <v>33</v>
      </c>
      <c r="D30" s="14" t="s">
        <v>575</v>
      </c>
      <c r="E30" s="173">
        <f t="shared" si="2"/>
        <v>58.60565499999999</v>
      </c>
      <c r="F30" s="14" t="s">
        <v>154</v>
      </c>
      <c r="G30" s="14">
        <v>88246</v>
      </c>
      <c r="H30" s="14" t="s">
        <v>585</v>
      </c>
      <c r="I30" s="14" t="s">
        <v>135</v>
      </c>
      <c r="J30" s="14" t="s">
        <v>189</v>
      </c>
      <c r="K30" s="14">
        <v>0.126</v>
      </c>
      <c r="L30" s="170">
        <v>24.57</v>
      </c>
      <c r="M30" s="171">
        <f aca="true" t="shared" si="3" ref="M30:M35">K30*L30</f>
        <v>3.0958200000000002</v>
      </c>
    </row>
    <row r="31" spans="1:13" ht="15">
      <c r="A31" s="14" t="s">
        <v>28</v>
      </c>
      <c r="B31" s="14" t="s">
        <v>584</v>
      </c>
      <c r="C31" s="14" t="s">
        <v>33</v>
      </c>
      <c r="D31" s="14" t="s">
        <v>575</v>
      </c>
      <c r="E31" s="173">
        <f t="shared" si="2"/>
        <v>58.60565499999999</v>
      </c>
      <c r="F31" s="14" t="s">
        <v>154</v>
      </c>
      <c r="G31" s="14">
        <v>88316</v>
      </c>
      <c r="H31" s="14" t="s">
        <v>158</v>
      </c>
      <c r="I31" s="14" t="s">
        <v>135</v>
      </c>
      <c r="J31" s="14" t="s">
        <v>191</v>
      </c>
      <c r="K31" s="14">
        <v>0.126</v>
      </c>
      <c r="L31" s="170">
        <v>17.76</v>
      </c>
      <c r="M31" s="171">
        <f t="shared" si="3"/>
        <v>2.23776</v>
      </c>
    </row>
    <row r="32" spans="1:13" ht="15">
      <c r="A32" s="14" t="s">
        <v>28</v>
      </c>
      <c r="B32" s="14" t="s">
        <v>584</v>
      </c>
      <c r="C32" s="14" t="s">
        <v>33</v>
      </c>
      <c r="D32" s="14" t="s">
        <v>575</v>
      </c>
      <c r="E32" s="173">
        <f t="shared" si="2"/>
        <v>58.60565499999999</v>
      </c>
      <c r="F32" s="14" t="s">
        <v>154</v>
      </c>
      <c r="G32" s="14">
        <v>90724</v>
      </c>
      <c r="H32" s="14" t="s">
        <v>586</v>
      </c>
      <c r="I32" s="14" t="s">
        <v>44</v>
      </c>
      <c r="J32" s="14" t="s">
        <v>189</v>
      </c>
      <c r="K32" s="14">
        <v>0.1</v>
      </c>
      <c r="L32" s="170">
        <v>22.5</v>
      </c>
      <c r="M32" s="171">
        <f t="shared" si="3"/>
        <v>2.25</v>
      </c>
    </row>
    <row r="33" spans="1:13" ht="15">
      <c r="A33" s="14" t="s">
        <v>28</v>
      </c>
      <c r="B33" s="14" t="s">
        <v>584</v>
      </c>
      <c r="C33" s="14" t="s">
        <v>33</v>
      </c>
      <c r="D33" s="14" t="s">
        <v>575</v>
      </c>
      <c r="E33" s="173">
        <f t="shared" si="2"/>
        <v>58.60565499999999</v>
      </c>
      <c r="F33" s="14" t="s">
        <v>154</v>
      </c>
      <c r="G33" s="14">
        <v>93358</v>
      </c>
      <c r="H33" s="14" t="s">
        <v>587</v>
      </c>
      <c r="I33" s="14" t="s">
        <v>19</v>
      </c>
      <c r="J33" s="14" t="s">
        <v>191</v>
      </c>
      <c r="K33" s="14">
        <v>0.4225</v>
      </c>
      <c r="L33" s="170">
        <v>70.25</v>
      </c>
      <c r="M33" s="171">
        <f t="shared" si="3"/>
        <v>29.680625</v>
      </c>
    </row>
    <row r="34" spans="1:13" ht="15">
      <c r="A34" s="14" t="s">
        <v>28</v>
      </c>
      <c r="B34" s="14" t="s">
        <v>584</v>
      </c>
      <c r="C34" s="14" t="s">
        <v>33</v>
      </c>
      <c r="D34" s="14" t="s">
        <v>575</v>
      </c>
      <c r="E34" s="173">
        <f t="shared" si="2"/>
        <v>58.60565499999999</v>
      </c>
      <c r="F34" s="14" t="s">
        <v>154</v>
      </c>
      <c r="G34" s="14">
        <v>93382</v>
      </c>
      <c r="H34" s="14" t="s">
        <v>588</v>
      </c>
      <c r="I34" s="14" t="s">
        <v>19</v>
      </c>
      <c r="J34" s="14" t="s">
        <v>575</v>
      </c>
      <c r="K34" s="14">
        <v>0.3575</v>
      </c>
      <c r="L34" s="170">
        <v>28.08</v>
      </c>
      <c r="M34" s="171">
        <f t="shared" si="3"/>
        <v>10.038599999999999</v>
      </c>
    </row>
    <row r="35" spans="1:13" ht="15">
      <c r="A35" s="14" t="s">
        <v>28</v>
      </c>
      <c r="B35" s="14" t="s">
        <v>584</v>
      </c>
      <c r="C35" s="14" t="s">
        <v>33</v>
      </c>
      <c r="D35" s="14" t="s">
        <v>575</v>
      </c>
      <c r="E35" s="173">
        <f t="shared" si="2"/>
        <v>58.60565499999999</v>
      </c>
      <c r="F35" s="14" t="s">
        <v>154</v>
      </c>
      <c r="G35" s="14">
        <v>101618</v>
      </c>
      <c r="H35" s="14" t="s">
        <v>589</v>
      </c>
      <c r="I35" s="14" t="s">
        <v>19</v>
      </c>
      <c r="J35" s="14" t="s">
        <v>575</v>
      </c>
      <c r="K35" s="14">
        <v>0.065</v>
      </c>
      <c r="L35" s="170">
        <v>173.89</v>
      </c>
      <c r="M35" s="171">
        <f t="shared" si="3"/>
        <v>11.30285</v>
      </c>
    </row>
    <row r="36" ht="15">
      <c r="M36" s="171">
        <f>SUM(M30:M35)</f>
        <v>58.60565499999999</v>
      </c>
    </row>
    <row r="37" ht="15">
      <c r="M37" s="171"/>
    </row>
    <row r="38" spans="1:13" ht="15">
      <c r="A38" s="14" t="s">
        <v>30</v>
      </c>
      <c r="B38" s="14" t="s">
        <v>590</v>
      </c>
      <c r="C38" s="14" t="s">
        <v>13</v>
      </c>
      <c r="D38" s="14" t="s">
        <v>575</v>
      </c>
      <c r="E38" s="14">
        <v>685.55</v>
      </c>
      <c r="F38" s="14"/>
      <c r="G38" s="14"/>
      <c r="H38" s="14"/>
      <c r="I38" s="14"/>
      <c r="J38" s="14"/>
      <c r="K38" s="14"/>
      <c r="L38" s="170"/>
      <c r="M38" s="170"/>
    </row>
    <row r="39" spans="1:13" ht="15">
      <c r="A39" s="14" t="s">
        <v>30</v>
      </c>
      <c r="B39" s="14" t="s">
        <v>590</v>
      </c>
      <c r="C39" s="14" t="s">
        <v>13</v>
      </c>
      <c r="D39" s="14" t="s">
        <v>575</v>
      </c>
      <c r="E39" s="14">
        <v>685.55</v>
      </c>
      <c r="F39" s="14" t="s">
        <v>137</v>
      </c>
      <c r="G39" s="14">
        <v>34381</v>
      </c>
      <c r="H39" s="14" t="s">
        <v>591</v>
      </c>
      <c r="I39" s="14" t="s">
        <v>592</v>
      </c>
      <c r="J39" s="14" t="s">
        <v>191</v>
      </c>
      <c r="K39" s="14">
        <v>2.3</v>
      </c>
      <c r="L39" s="170">
        <v>220.32</v>
      </c>
      <c r="M39" s="171">
        <f>K39*L39</f>
        <v>506.73599999999993</v>
      </c>
    </row>
    <row r="40" spans="1:13" ht="15">
      <c r="A40" s="14" t="s">
        <v>30</v>
      </c>
      <c r="B40" s="14" t="s">
        <v>590</v>
      </c>
      <c r="C40" s="14" t="s">
        <v>13</v>
      </c>
      <c r="D40" s="14" t="s">
        <v>575</v>
      </c>
      <c r="E40" s="14">
        <v>685.55</v>
      </c>
      <c r="F40" s="14" t="s">
        <v>154</v>
      </c>
      <c r="G40" s="14">
        <v>88309</v>
      </c>
      <c r="H40" s="14" t="s">
        <v>160</v>
      </c>
      <c r="I40" s="14" t="s">
        <v>135</v>
      </c>
      <c r="J40" s="14" t="s">
        <v>191</v>
      </c>
      <c r="K40" s="14">
        <v>4.581</v>
      </c>
      <c r="L40" s="170">
        <v>21.53</v>
      </c>
      <c r="M40" s="171">
        <f>K40*L40</f>
        <v>98.62893000000001</v>
      </c>
    </row>
    <row r="41" spans="1:13" ht="15">
      <c r="A41" s="14" t="s">
        <v>30</v>
      </c>
      <c r="B41" s="14" t="s">
        <v>590</v>
      </c>
      <c r="C41" s="14" t="s">
        <v>13</v>
      </c>
      <c r="D41" s="14" t="s">
        <v>575</v>
      </c>
      <c r="E41" s="14">
        <v>685.55</v>
      </c>
      <c r="F41" s="14" t="s">
        <v>154</v>
      </c>
      <c r="G41" s="14">
        <v>88316</v>
      </c>
      <c r="H41" s="14" t="s">
        <v>158</v>
      </c>
      <c r="I41" s="14" t="s">
        <v>135</v>
      </c>
      <c r="J41" s="14" t="s">
        <v>191</v>
      </c>
      <c r="K41" s="14">
        <v>2.291</v>
      </c>
      <c r="L41" s="170">
        <v>17.76</v>
      </c>
      <c r="M41" s="171">
        <f>K41*L41</f>
        <v>40.68816</v>
      </c>
    </row>
    <row r="42" spans="1:13" ht="15">
      <c r="A42" s="14" t="s">
        <v>30</v>
      </c>
      <c r="B42" s="14" t="s">
        <v>590</v>
      </c>
      <c r="C42" s="14" t="s">
        <v>13</v>
      </c>
      <c r="D42" s="14" t="s">
        <v>575</v>
      </c>
      <c r="E42" s="14">
        <v>685.55</v>
      </c>
      <c r="F42" s="14" t="s">
        <v>154</v>
      </c>
      <c r="G42" s="14">
        <v>88629</v>
      </c>
      <c r="H42" s="14" t="s">
        <v>593</v>
      </c>
      <c r="I42" s="14" t="s">
        <v>19</v>
      </c>
      <c r="J42" s="14" t="s">
        <v>191</v>
      </c>
      <c r="K42" s="14">
        <v>0.021</v>
      </c>
      <c r="L42" s="170">
        <v>546.4</v>
      </c>
      <c r="M42" s="171">
        <f>K42*L42</f>
        <v>11.474400000000001</v>
      </c>
    </row>
    <row r="43" spans="1:13" ht="15">
      <c r="A43" s="14" t="s">
        <v>30</v>
      </c>
      <c r="B43" s="14" t="s">
        <v>590</v>
      </c>
      <c r="C43" s="14" t="s">
        <v>13</v>
      </c>
      <c r="D43" s="14" t="s">
        <v>575</v>
      </c>
      <c r="E43" s="14">
        <v>685.55</v>
      </c>
      <c r="F43" s="14" t="s">
        <v>137</v>
      </c>
      <c r="G43" s="14">
        <v>36888</v>
      </c>
      <c r="H43" s="14" t="s">
        <v>594</v>
      </c>
      <c r="I43" s="14" t="s">
        <v>595</v>
      </c>
      <c r="J43" s="14" t="s">
        <v>191</v>
      </c>
      <c r="K43" s="14">
        <v>2.94</v>
      </c>
      <c r="L43" s="170">
        <v>9.53</v>
      </c>
      <c r="M43" s="171">
        <f>K43*L43</f>
        <v>28.018199999999997</v>
      </c>
    </row>
    <row r="44" spans="1:13" ht="15">
      <c r="A44" s="14"/>
      <c r="B44" s="14"/>
      <c r="C44" s="14"/>
      <c r="D44" s="14"/>
      <c r="E44" s="14"/>
      <c r="F44" s="14"/>
      <c r="G44" s="14"/>
      <c r="H44" s="14"/>
      <c r="I44" s="14"/>
      <c r="J44" s="14"/>
      <c r="K44" s="14"/>
      <c r="L44" s="170"/>
      <c r="M44" s="171">
        <f>SUM(M39:M43)</f>
        <v>685.5456899999999</v>
      </c>
    </row>
    <row r="45" spans="1:13" ht="15">
      <c r="A45" s="14"/>
      <c r="B45" s="14"/>
      <c r="C45" s="14"/>
      <c r="D45" s="14"/>
      <c r="E45" s="14"/>
      <c r="F45" s="14"/>
      <c r="G45" s="14"/>
      <c r="H45" s="14"/>
      <c r="I45" s="14"/>
      <c r="J45" s="14"/>
      <c r="K45" s="14"/>
      <c r="L45" s="170"/>
      <c r="M45" s="171"/>
    </row>
    <row r="46" spans="1:13" ht="15">
      <c r="A46" s="14" t="s">
        <v>45</v>
      </c>
      <c r="B46" s="14" t="s">
        <v>434</v>
      </c>
      <c r="C46" s="14" t="s">
        <v>595</v>
      </c>
      <c r="D46" s="14"/>
      <c r="E46" s="14">
        <v>68.47</v>
      </c>
      <c r="F46" s="14" t="s">
        <v>137</v>
      </c>
      <c r="G46" s="14">
        <v>39426</v>
      </c>
      <c r="H46" s="14" t="s">
        <v>434</v>
      </c>
      <c r="I46" s="14" t="s">
        <v>595</v>
      </c>
      <c r="J46" s="14" t="s">
        <v>191</v>
      </c>
      <c r="K46" s="14">
        <v>1.1</v>
      </c>
      <c r="L46" s="170">
        <v>36.62</v>
      </c>
      <c r="M46" s="171">
        <f>K46*L46</f>
        <v>40.282000000000004</v>
      </c>
    </row>
    <row r="47" spans="1:13" ht="15">
      <c r="A47" s="14" t="s">
        <v>45</v>
      </c>
      <c r="B47" s="14" t="s">
        <v>434</v>
      </c>
      <c r="C47" s="14" t="s">
        <v>595</v>
      </c>
      <c r="D47" s="14"/>
      <c r="E47" s="14">
        <v>68.47</v>
      </c>
      <c r="F47" s="14" t="s">
        <v>154</v>
      </c>
      <c r="G47" s="14" t="s">
        <v>155</v>
      </c>
      <c r="H47" s="14" t="s">
        <v>156</v>
      </c>
      <c r="I47" s="14" t="s">
        <v>135</v>
      </c>
      <c r="J47" s="14" t="s">
        <v>189</v>
      </c>
      <c r="K47" s="14">
        <v>1.0549</v>
      </c>
      <c r="L47" s="170">
        <v>22.01</v>
      </c>
      <c r="M47" s="171">
        <f>K47*L47</f>
        <v>23.218349</v>
      </c>
    </row>
    <row r="48" spans="1:13" ht="15">
      <c r="A48" s="14" t="s">
        <v>45</v>
      </c>
      <c r="B48" s="14" t="s">
        <v>434</v>
      </c>
      <c r="C48" s="14" t="s">
        <v>595</v>
      </c>
      <c r="D48" s="14"/>
      <c r="E48" s="14">
        <v>68.47</v>
      </c>
      <c r="F48" s="14" t="s">
        <v>154</v>
      </c>
      <c r="G48" s="14" t="s">
        <v>157</v>
      </c>
      <c r="H48" s="14" t="s">
        <v>158</v>
      </c>
      <c r="I48" s="14" t="s">
        <v>135</v>
      </c>
      <c r="J48" s="14" t="s">
        <v>191</v>
      </c>
      <c r="K48" s="14">
        <v>0.2637</v>
      </c>
      <c r="L48" s="170">
        <v>18.84</v>
      </c>
      <c r="M48" s="171">
        <f>K48*L48</f>
        <v>4.968108</v>
      </c>
    </row>
    <row r="49" spans="1:13" ht="15">
      <c r="A49" s="14"/>
      <c r="B49" s="14"/>
      <c r="C49" s="14"/>
      <c r="D49" s="14"/>
      <c r="E49" s="14"/>
      <c r="F49" s="14"/>
      <c r="G49" s="14"/>
      <c r="H49" s="14"/>
      <c r="I49" s="14"/>
      <c r="J49" s="14"/>
      <c r="K49" s="14"/>
      <c r="L49" s="170"/>
      <c r="M49" s="171">
        <f>SUM(M46:M48)</f>
        <v>68.468457</v>
      </c>
    </row>
    <row r="50" spans="1:13" ht="15">
      <c r="A50" s="14"/>
      <c r="B50" s="14"/>
      <c r="C50" s="14"/>
      <c r="D50" s="14"/>
      <c r="E50" s="14"/>
      <c r="F50" s="14"/>
      <c r="G50" s="14"/>
      <c r="H50" s="14"/>
      <c r="I50" s="14"/>
      <c r="J50" s="14"/>
      <c r="K50" s="14"/>
      <c r="L50" s="170"/>
      <c r="M50" s="171"/>
    </row>
    <row r="51" spans="1:13" ht="15">
      <c r="A51" s="14"/>
      <c r="B51" s="14"/>
      <c r="C51" s="14"/>
      <c r="D51" s="14"/>
      <c r="E51" s="14"/>
      <c r="F51" s="14"/>
      <c r="G51" s="14"/>
      <c r="H51" s="14"/>
      <c r="I51" s="14"/>
      <c r="J51" s="14"/>
      <c r="K51" s="14"/>
      <c r="L51" s="170"/>
      <c r="M51" s="171"/>
    </row>
    <row r="52" spans="1:13" ht="15">
      <c r="A52" s="14" t="s">
        <v>46</v>
      </c>
      <c r="B52" s="15" t="s">
        <v>163</v>
      </c>
      <c r="C52" s="14" t="s">
        <v>595</v>
      </c>
      <c r="D52" s="14" t="s">
        <v>575</v>
      </c>
      <c r="E52" s="177">
        <v>91.391328</v>
      </c>
      <c r="F52" s="176" t="s">
        <v>137</v>
      </c>
      <c r="G52" s="15" t="s">
        <v>164</v>
      </c>
      <c r="H52" s="15" t="s">
        <v>165</v>
      </c>
      <c r="I52" s="15" t="s">
        <v>33</v>
      </c>
      <c r="J52" s="14"/>
      <c r="K52" s="14">
        <v>1.0211</v>
      </c>
      <c r="L52" s="170">
        <v>54.68</v>
      </c>
      <c r="M52" s="171">
        <f aca="true" t="shared" si="4" ref="M52:M57">K52*L52</f>
        <v>55.83374799999999</v>
      </c>
    </row>
    <row r="53" spans="1:13" ht="15">
      <c r="A53" s="14" t="s">
        <v>46</v>
      </c>
      <c r="B53" s="15" t="s">
        <v>163</v>
      </c>
      <c r="C53" s="14" t="s">
        <v>595</v>
      </c>
      <c r="D53" s="14" t="s">
        <v>575</v>
      </c>
      <c r="E53" s="177">
        <v>91.391328</v>
      </c>
      <c r="F53" s="176" t="s">
        <v>154</v>
      </c>
      <c r="G53" s="15" t="s">
        <v>166</v>
      </c>
      <c r="H53" s="15" t="s">
        <v>167</v>
      </c>
      <c r="I53" s="15" t="s">
        <v>135</v>
      </c>
      <c r="J53" s="14"/>
      <c r="K53" s="14">
        <v>0.338</v>
      </c>
      <c r="L53" s="170">
        <v>19.53</v>
      </c>
      <c r="M53" s="171">
        <f t="shared" si="4"/>
        <v>6.601140000000001</v>
      </c>
    </row>
    <row r="54" spans="1:13" ht="15">
      <c r="A54" s="14" t="s">
        <v>46</v>
      </c>
      <c r="B54" s="15" t="s">
        <v>163</v>
      </c>
      <c r="C54" s="14" t="s">
        <v>595</v>
      </c>
      <c r="D54" s="14" t="s">
        <v>575</v>
      </c>
      <c r="E54" s="177">
        <v>91.391328</v>
      </c>
      <c r="F54" s="176" t="s">
        <v>154</v>
      </c>
      <c r="G54" s="15" t="s">
        <v>168</v>
      </c>
      <c r="H54" s="15" t="s">
        <v>161</v>
      </c>
      <c r="I54" s="15" t="s">
        <v>135</v>
      </c>
      <c r="J54" s="14"/>
      <c r="K54" s="14">
        <v>0.338</v>
      </c>
      <c r="L54" s="170">
        <v>22.28</v>
      </c>
      <c r="M54" s="171">
        <f t="shared" si="4"/>
        <v>7.530640000000001</v>
      </c>
    </row>
    <row r="55" spans="1:13" ht="15">
      <c r="A55" s="14" t="s">
        <v>46</v>
      </c>
      <c r="B55" s="15" t="s">
        <v>163</v>
      </c>
      <c r="C55" s="14" t="s">
        <v>595</v>
      </c>
      <c r="D55" s="14" t="s">
        <v>575</v>
      </c>
      <c r="E55" s="177">
        <v>91.391328</v>
      </c>
      <c r="F55" s="176" t="s">
        <v>137</v>
      </c>
      <c r="G55" s="15" t="s">
        <v>169</v>
      </c>
      <c r="H55" s="15" t="s">
        <v>170</v>
      </c>
      <c r="I55" s="15" t="s">
        <v>44</v>
      </c>
      <c r="J55" s="14"/>
      <c r="K55" s="14">
        <v>0.05</v>
      </c>
      <c r="L55" s="170">
        <v>333.94</v>
      </c>
      <c r="M55" s="171">
        <f t="shared" si="4"/>
        <v>16.697</v>
      </c>
    </row>
    <row r="56" spans="1:13" ht="15">
      <c r="A56" s="14" t="s">
        <v>46</v>
      </c>
      <c r="B56" s="15" t="s">
        <v>163</v>
      </c>
      <c r="C56" s="14" t="s">
        <v>595</v>
      </c>
      <c r="D56" s="14" t="s">
        <v>575</v>
      </c>
      <c r="E56" s="177">
        <v>91.391328</v>
      </c>
      <c r="F56" s="176" t="s">
        <v>137</v>
      </c>
      <c r="G56" s="15" t="s">
        <v>171</v>
      </c>
      <c r="H56" s="15" t="s">
        <v>172</v>
      </c>
      <c r="I56" s="15" t="s">
        <v>44</v>
      </c>
      <c r="J56" s="14"/>
      <c r="K56" s="14">
        <v>1</v>
      </c>
      <c r="L56" s="170">
        <v>2.28</v>
      </c>
      <c r="M56" s="171">
        <f t="shared" si="4"/>
        <v>2.28</v>
      </c>
    </row>
    <row r="57" spans="1:13" ht="15">
      <c r="A57" s="14" t="s">
        <v>46</v>
      </c>
      <c r="B57" s="15" t="s">
        <v>163</v>
      </c>
      <c r="C57" s="14" t="s">
        <v>595</v>
      </c>
      <c r="D57" s="14" t="s">
        <v>575</v>
      </c>
      <c r="E57" s="177">
        <v>91.391328</v>
      </c>
      <c r="F57" s="176" t="s">
        <v>137</v>
      </c>
      <c r="G57" s="15" t="s">
        <v>173</v>
      </c>
      <c r="H57" s="15" t="s">
        <v>174</v>
      </c>
      <c r="I57" s="15" t="s">
        <v>44</v>
      </c>
      <c r="J57" s="14"/>
      <c r="K57" s="14">
        <v>0.04</v>
      </c>
      <c r="L57" s="170">
        <v>61.22</v>
      </c>
      <c r="M57" s="171">
        <f t="shared" si="4"/>
        <v>2.4488</v>
      </c>
    </row>
    <row r="58" spans="1:13" ht="15">
      <c r="A58" s="176"/>
      <c r="B58" s="15"/>
      <c r="C58" s="15"/>
      <c r="D58" s="15"/>
      <c r="E58" s="15"/>
      <c r="F58" s="15"/>
      <c r="G58" s="15"/>
      <c r="H58" s="15"/>
      <c r="I58" s="15"/>
      <c r="J58" s="15"/>
      <c r="K58" s="15"/>
      <c r="L58" s="178"/>
      <c r="M58" s="171">
        <f>SUM(M52:M57)</f>
        <v>91.391328</v>
      </c>
    </row>
    <row r="59" spans="1:13" ht="15">
      <c r="A59" s="176"/>
      <c r="B59" s="15"/>
      <c r="C59" s="15"/>
      <c r="D59" s="15"/>
      <c r="E59" s="177"/>
      <c r="F59" s="15"/>
      <c r="G59" s="15"/>
      <c r="H59" s="15"/>
      <c r="I59" s="15"/>
      <c r="J59" s="15"/>
      <c r="K59" s="15"/>
      <c r="L59" s="178"/>
      <c r="M59" s="178"/>
    </row>
    <row r="60" spans="1:13" ht="15">
      <c r="A60" s="176" t="s">
        <v>47</v>
      </c>
      <c r="B60" s="15" t="s">
        <v>566</v>
      </c>
      <c r="C60" s="180" t="s">
        <v>44</v>
      </c>
      <c r="D60" s="15"/>
      <c r="E60" s="177">
        <v>203.13</v>
      </c>
      <c r="F60" s="15"/>
      <c r="G60" s="15"/>
      <c r="H60" s="15"/>
      <c r="I60" s="15"/>
      <c r="J60" s="15"/>
      <c r="K60" s="15"/>
      <c r="L60" s="178"/>
      <c r="M60" s="178"/>
    </row>
    <row r="61" spans="1:13" ht="15">
      <c r="A61" s="176" t="s">
        <v>47</v>
      </c>
      <c r="B61" s="15" t="s">
        <v>566</v>
      </c>
      <c r="C61" s="180" t="s">
        <v>44</v>
      </c>
      <c r="D61" s="15"/>
      <c r="E61" s="177">
        <v>203.13</v>
      </c>
      <c r="F61" s="15" t="s">
        <v>137</v>
      </c>
      <c r="G61" s="15" t="s">
        <v>596</v>
      </c>
      <c r="H61" s="15" t="s">
        <v>597</v>
      </c>
      <c r="I61" s="15" t="s">
        <v>44</v>
      </c>
      <c r="J61" s="15"/>
      <c r="K61" s="15">
        <v>0.5</v>
      </c>
      <c r="L61" s="179">
        <v>145</v>
      </c>
      <c r="M61" s="179">
        <f>K61*L61</f>
        <v>72.5</v>
      </c>
    </row>
    <row r="62" spans="1:13" ht="15">
      <c r="A62" s="176" t="s">
        <v>47</v>
      </c>
      <c r="B62" s="15" t="s">
        <v>566</v>
      </c>
      <c r="C62" s="180" t="s">
        <v>44</v>
      </c>
      <c r="D62" s="15"/>
      <c r="E62" s="177">
        <v>203.13</v>
      </c>
      <c r="F62" s="15" t="s">
        <v>137</v>
      </c>
      <c r="G62" s="15" t="s">
        <v>596</v>
      </c>
      <c r="H62" s="15" t="s">
        <v>598</v>
      </c>
      <c r="I62" s="15" t="s">
        <v>44</v>
      </c>
      <c r="J62" s="15"/>
      <c r="K62" s="15">
        <v>0.5</v>
      </c>
      <c r="L62" s="179">
        <v>145</v>
      </c>
      <c r="M62" s="179">
        <f>K62*L62</f>
        <v>72.5</v>
      </c>
    </row>
    <row r="63" spans="1:13" ht="15">
      <c r="A63" s="176" t="s">
        <v>47</v>
      </c>
      <c r="B63" s="15" t="s">
        <v>566</v>
      </c>
      <c r="C63" s="180" t="s">
        <v>44</v>
      </c>
      <c r="D63" s="15"/>
      <c r="E63" s="177">
        <v>203.13</v>
      </c>
      <c r="F63" s="15" t="s">
        <v>154</v>
      </c>
      <c r="G63" s="15">
        <v>2701</v>
      </c>
      <c r="H63" s="15" t="s">
        <v>599</v>
      </c>
      <c r="I63" s="15" t="s">
        <v>135</v>
      </c>
      <c r="J63" s="15"/>
      <c r="K63" s="15">
        <v>2</v>
      </c>
      <c r="L63" s="179">
        <v>19.15</v>
      </c>
      <c r="M63" s="179">
        <f>K63*L63</f>
        <v>38.3</v>
      </c>
    </row>
    <row r="64" spans="1:13" ht="15">
      <c r="A64" s="176" t="s">
        <v>47</v>
      </c>
      <c r="B64" s="15" t="s">
        <v>566</v>
      </c>
      <c r="C64" s="180" t="s">
        <v>44</v>
      </c>
      <c r="D64" s="15"/>
      <c r="E64" s="177">
        <v>203.13</v>
      </c>
      <c r="F64" s="15" t="s">
        <v>154</v>
      </c>
      <c r="G64" s="15" t="s">
        <v>600</v>
      </c>
      <c r="H64" s="15" t="s">
        <v>601</v>
      </c>
      <c r="I64" s="15" t="s">
        <v>135</v>
      </c>
      <c r="J64" s="15"/>
      <c r="K64" s="15">
        <v>1</v>
      </c>
      <c r="L64" s="179">
        <v>19.83</v>
      </c>
      <c r="M64" s="179">
        <f>K64*L64</f>
        <v>19.83</v>
      </c>
    </row>
    <row r="65" spans="1:13" ht="15">
      <c r="A65" s="180"/>
      <c r="B65" s="180"/>
      <c r="C65" s="180"/>
      <c r="D65" s="180"/>
      <c r="E65" s="180"/>
      <c r="F65" s="180"/>
      <c r="G65" s="180"/>
      <c r="H65" s="180"/>
      <c r="I65" s="180"/>
      <c r="J65" s="180"/>
      <c r="K65" s="180"/>
      <c r="L65" s="181"/>
      <c r="M65" s="179">
        <f>SUM(M61:M64)</f>
        <v>203.13</v>
      </c>
    </row>
    <row r="66" spans="1:13" ht="15">
      <c r="A66" s="14"/>
      <c r="B66" s="14"/>
      <c r="C66" s="14"/>
      <c r="D66" s="14"/>
      <c r="E66" s="14"/>
      <c r="F66" s="14"/>
      <c r="G66" s="14"/>
      <c r="H66" s="14"/>
      <c r="I66" s="14"/>
      <c r="J66" s="14"/>
      <c r="K66" s="14"/>
      <c r="L66" s="170"/>
      <c r="M66" s="171"/>
    </row>
    <row r="67" spans="1:13" ht="15">
      <c r="A67" s="14" t="s">
        <v>48</v>
      </c>
      <c r="B67" s="14" t="s">
        <v>421</v>
      </c>
      <c r="C67" s="14" t="s">
        <v>13</v>
      </c>
      <c r="D67" s="14" t="s">
        <v>575</v>
      </c>
      <c r="E67" s="172">
        <v>168.511926</v>
      </c>
      <c r="F67" s="14"/>
      <c r="G67" s="14"/>
      <c r="H67" s="14"/>
      <c r="I67" s="14"/>
      <c r="J67" s="14"/>
      <c r="K67" s="14"/>
      <c r="L67" s="170"/>
      <c r="M67" s="170"/>
    </row>
    <row r="68" spans="1:13" ht="15">
      <c r="A68" s="14" t="s">
        <v>48</v>
      </c>
      <c r="B68" s="14" t="s">
        <v>421</v>
      </c>
      <c r="C68" s="14" t="s">
        <v>13</v>
      </c>
      <c r="D68" s="14" t="s">
        <v>575</v>
      </c>
      <c r="E68" s="172">
        <v>168.511926</v>
      </c>
      <c r="F68" s="14" t="s">
        <v>137</v>
      </c>
      <c r="G68" s="14" t="s">
        <v>138</v>
      </c>
      <c r="H68" s="14" t="s">
        <v>139</v>
      </c>
      <c r="I68" s="14" t="s">
        <v>140</v>
      </c>
      <c r="J68" s="14" t="s">
        <v>575</v>
      </c>
      <c r="K68" s="14">
        <v>0.0243</v>
      </c>
      <c r="L68" s="170">
        <v>47.55</v>
      </c>
      <c r="M68" s="171">
        <f aca="true" t="shared" si="5" ref="M68:M78">K68*L68</f>
        <v>1.155465</v>
      </c>
    </row>
    <row r="69" spans="1:13" ht="15">
      <c r="A69" s="14" t="s">
        <v>48</v>
      </c>
      <c r="B69" s="14" t="s">
        <v>421</v>
      </c>
      <c r="C69" s="14" t="s">
        <v>13</v>
      </c>
      <c r="D69" s="14" t="s">
        <v>575</v>
      </c>
      <c r="E69" s="172">
        <v>168.511926</v>
      </c>
      <c r="F69" s="14" t="s">
        <v>137</v>
      </c>
      <c r="G69" s="14">
        <v>11062</v>
      </c>
      <c r="H69" s="14" t="s">
        <v>602</v>
      </c>
      <c r="I69" s="14" t="s">
        <v>577</v>
      </c>
      <c r="J69" s="14" t="s">
        <v>189</v>
      </c>
      <c r="K69" s="14">
        <v>2.106</v>
      </c>
      <c r="L69" s="170">
        <v>50.09</v>
      </c>
      <c r="M69" s="171">
        <f t="shared" si="5"/>
        <v>105.48954</v>
      </c>
    </row>
    <row r="70" spans="1:13" ht="15">
      <c r="A70" s="14" t="s">
        <v>48</v>
      </c>
      <c r="B70" s="14" t="s">
        <v>421</v>
      </c>
      <c r="C70" s="14" t="s">
        <v>13</v>
      </c>
      <c r="D70" s="14" t="s">
        <v>575</v>
      </c>
      <c r="E70" s="172">
        <v>168.511926</v>
      </c>
      <c r="F70" s="14" t="s">
        <v>137</v>
      </c>
      <c r="G70" s="14" t="s">
        <v>141</v>
      </c>
      <c r="H70" s="14" t="s">
        <v>142</v>
      </c>
      <c r="I70" s="14" t="s">
        <v>33</v>
      </c>
      <c r="J70" s="14" t="s">
        <v>189</v>
      </c>
      <c r="K70" s="14">
        <v>0.7604</v>
      </c>
      <c r="L70" s="170">
        <v>12.37</v>
      </c>
      <c r="M70" s="171">
        <f t="shared" si="5"/>
        <v>9.406147999999998</v>
      </c>
    </row>
    <row r="71" spans="1:13" ht="15">
      <c r="A71" s="14" t="s">
        <v>48</v>
      </c>
      <c r="B71" s="14" t="s">
        <v>421</v>
      </c>
      <c r="C71" s="14" t="s">
        <v>13</v>
      </c>
      <c r="D71" s="14" t="s">
        <v>575</v>
      </c>
      <c r="E71" s="172">
        <v>168.511926</v>
      </c>
      <c r="F71" s="14" t="s">
        <v>137</v>
      </c>
      <c r="G71" s="14" t="s">
        <v>143</v>
      </c>
      <c r="H71" s="14" t="s">
        <v>144</v>
      </c>
      <c r="I71" s="14" t="s">
        <v>33</v>
      </c>
      <c r="J71" s="14" t="s">
        <v>191</v>
      </c>
      <c r="K71" s="14">
        <v>1.991</v>
      </c>
      <c r="L71" s="170">
        <v>14.03</v>
      </c>
      <c r="M71" s="171">
        <f t="shared" si="5"/>
        <v>27.93373</v>
      </c>
    </row>
    <row r="72" spans="1:13" ht="15">
      <c r="A72" s="14" t="s">
        <v>48</v>
      </c>
      <c r="B72" s="14" t="s">
        <v>421</v>
      </c>
      <c r="C72" s="14" t="s">
        <v>13</v>
      </c>
      <c r="D72" s="14" t="s">
        <v>575</v>
      </c>
      <c r="E72" s="172">
        <v>168.511926</v>
      </c>
      <c r="F72" s="14" t="s">
        <v>137</v>
      </c>
      <c r="G72" s="14" t="s">
        <v>145</v>
      </c>
      <c r="H72" s="14" t="s">
        <v>146</v>
      </c>
      <c r="I72" s="14" t="s">
        <v>33</v>
      </c>
      <c r="J72" s="14" t="s">
        <v>189</v>
      </c>
      <c r="K72" s="14">
        <v>2.5027</v>
      </c>
      <c r="L72" s="170">
        <v>0.36</v>
      </c>
      <c r="M72" s="171">
        <f t="shared" si="5"/>
        <v>0.9009719999999999</v>
      </c>
    </row>
    <row r="73" spans="1:13" ht="15">
      <c r="A73" s="14" t="s">
        <v>48</v>
      </c>
      <c r="B73" s="14" t="s">
        <v>421</v>
      </c>
      <c r="C73" s="14" t="s">
        <v>13</v>
      </c>
      <c r="D73" s="14" t="s">
        <v>575</v>
      </c>
      <c r="E73" s="172">
        <v>168.511926</v>
      </c>
      <c r="F73" s="14" t="s">
        <v>137</v>
      </c>
      <c r="G73" s="14" t="s">
        <v>147</v>
      </c>
      <c r="H73" s="14" t="s">
        <v>148</v>
      </c>
      <c r="I73" s="14" t="s">
        <v>33</v>
      </c>
      <c r="J73" s="14" t="s">
        <v>189</v>
      </c>
      <c r="K73" s="14">
        <v>0.7407</v>
      </c>
      <c r="L73" s="170">
        <v>3.17</v>
      </c>
      <c r="M73" s="171">
        <f t="shared" si="5"/>
        <v>2.348019</v>
      </c>
    </row>
    <row r="74" spans="1:13" ht="15">
      <c r="A74" s="14" t="s">
        <v>48</v>
      </c>
      <c r="B74" s="14" t="s">
        <v>421</v>
      </c>
      <c r="C74" s="14" t="s">
        <v>13</v>
      </c>
      <c r="D74" s="14" t="s">
        <v>575</v>
      </c>
      <c r="E74" s="172">
        <v>168.511926</v>
      </c>
      <c r="F74" s="14" t="s">
        <v>137</v>
      </c>
      <c r="G74" s="14" t="s">
        <v>149</v>
      </c>
      <c r="H74" s="14" t="s">
        <v>578</v>
      </c>
      <c r="I74" s="14" t="s">
        <v>111</v>
      </c>
      <c r="J74" s="14" t="s">
        <v>189</v>
      </c>
      <c r="K74" s="14">
        <v>1.0327</v>
      </c>
      <c r="L74" s="170">
        <v>3.97</v>
      </c>
      <c r="M74" s="171">
        <f t="shared" si="5"/>
        <v>4.099819</v>
      </c>
    </row>
    <row r="75" spans="1:13" ht="15">
      <c r="A75" s="14" t="s">
        <v>48</v>
      </c>
      <c r="B75" s="14" t="s">
        <v>421</v>
      </c>
      <c r="C75" s="14" t="s">
        <v>13</v>
      </c>
      <c r="D75" s="14" t="s">
        <v>575</v>
      </c>
      <c r="E75" s="172">
        <v>168.511926</v>
      </c>
      <c r="F75" s="14" t="s">
        <v>137</v>
      </c>
      <c r="G75" s="14" t="s">
        <v>150</v>
      </c>
      <c r="H75" s="14" t="s">
        <v>151</v>
      </c>
      <c r="I75" s="14" t="s">
        <v>44</v>
      </c>
      <c r="J75" s="14" t="s">
        <v>575</v>
      </c>
      <c r="K75" s="14">
        <v>20.0077</v>
      </c>
      <c r="L75" s="170">
        <v>0.12</v>
      </c>
      <c r="M75" s="171">
        <f t="shared" si="5"/>
        <v>2.400924</v>
      </c>
    </row>
    <row r="76" spans="1:13" ht="15">
      <c r="A76" s="14" t="s">
        <v>48</v>
      </c>
      <c r="B76" s="14" t="s">
        <v>421</v>
      </c>
      <c r="C76" s="14" t="s">
        <v>13</v>
      </c>
      <c r="D76" s="14" t="s">
        <v>575</v>
      </c>
      <c r="E76" s="172">
        <v>168.511926</v>
      </c>
      <c r="F76" s="14" t="s">
        <v>137</v>
      </c>
      <c r="G76" s="14" t="s">
        <v>152</v>
      </c>
      <c r="H76" s="14" t="s">
        <v>153</v>
      </c>
      <c r="I76" s="14" t="s">
        <v>44</v>
      </c>
      <c r="J76" s="14" t="s">
        <v>575</v>
      </c>
      <c r="K76" s="14">
        <v>0.8076</v>
      </c>
      <c r="L76" s="170">
        <v>0.27</v>
      </c>
      <c r="M76" s="171">
        <f t="shared" si="5"/>
        <v>0.21805200000000002</v>
      </c>
    </row>
    <row r="77" spans="1:13" ht="15">
      <c r="A77" s="14" t="s">
        <v>48</v>
      </c>
      <c r="B77" s="14" t="s">
        <v>421</v>
      </c>
      <c r="C77" s="14" t="s">
        <v>13</v>
      </c>
      <c r="D77" s="14" t="s">
        <v>575</v>
      </c>
      <c r="E77" s="172">
        <v>168.511926</v>
      </c>
      <c r="F77" s="14" t="s">
        <v>154</v>
      </c>
      <c r="G77" s="14" t="s">
        <v>155</v>
      </c>
      <c r="H77" s="14" t="s">
        <v>156</v>
      </c>
      <c r="I77" s="14" t="s">
        <v>135</v>
      </c>
      <c r="J77" s="14" t="s">
        <v>189</v>
      </c>
      <c r="K77" s="14">
        <v>0.5449</v>
      </c>
      <c r="L77" s="170">
        <v>22.01</v>
      </c>
      <c r="M77" s="171">
        <f t="shared" si="5"/>
        <v>11.993249000000002</v>
      </c>
    </row>
    <row r="78" spans="1:13" ht="15">
      <c r="A78" s="14" t="s">
        <v>48</v>
      </c>
      <c r="B78" s="14" t="s">
        <v>421</v>
      </c>
      <c r="C78" s="14" t="s">
        <v>13</v>
      </c>
      <c r="D78" s="14" t="s">
        <v>575</v>
      </c>
      <c r="E78" s="172">
        <v>168.511926</v>
      </c>
      <c r="F78" s="14" t="s">
        <v>154</v>
      </c>
      <c r="G78" s="14" t="s">
        <v>157</v>
      </c>
      <c r="H78" s="14" t="s">
        <v>158</v>
      </c>
      <c r="I78" s="14" t="s">
        <v>135</v>
      </c>
      <c r="J78" s="14" t="s">
        <v>191</v>
      </c>
      <c r="K78" s="14">
        <v>0.1362</v>
      </c>
      <c r="L78" s="170">
        <v>18.84</v>
      </c>
      <c r="M78" s="171">
        <f t="shared" si="5"/>
        <v>2.5660079999999996</v>
      </c>
    </row>
    <row r="79" ht="15">
      <c r="M79" s="171">
        <f>SUM(M68:M78)</f>
        <v>168.51192600000002</v>
      </c>
    </row>
    <row r="80" spans="1:13" ht="15">
      <c r="A80" s="174"/>
      <c r="B80" s="14"/>
      <c r="C80" s="14"/>
      <c r="D80" s="14"/>
      <c r="E80" s="14"/>
      <c r="F80" s="14"/>
      <c r="G80" s="14"/>
      <c r="H80" s="14"/>
      <c r="I80" s="14"/>
      <c r="J80" s="14"/>
      <c r="K80" s="14"/>
      <c r="L80" s="170"/>
      <c r="M80" s="171"/>
    </row>
    <row r="81" spans="1:13" ht="15">
      <c r="A81" s="14" t="s">
        <v>49</v>
      </c>
      <c r="B81" s="14" t="s">
        <v>445</v>
      </c>
      <c r="C81" s="14" t="s">
        <v>44</v>
      </c>
      <c r="D81" s="14" t="s">
        <v>189</v>
      </c>
      <c r="E81" s="14">
        <v>2640.69</v>
      </c>
      <c r="F81" s="14"/>
      <c r="G81" s="14"/>
      <c r="H81" s="14"/>
      <c r="I81" s="14"/>
      <c r="J81" s="14"/>
      <c r="K81" s="14"/>
      <c r="L81" s="170"/>
      <c r="M81" s="170"/>
    </row>
    <row r="82" spans="1:13" ht="15">
      <c r="A82" s="14" t="s">
        <v>49</v>
      </c>
      <c r="B82" s="14" t="s">
        <v>445</v>
      </c>
      <c r="C82" s="14" t="s">
        <v>44</v>
      </c>
      <c r="D82" s="14" t="s">
        <v>189</v>
      </c>
      <c r="E82" s="14">
        <v>2640.69</v>
      </c>
      <c r="F82" s="14" t="s">
        <v>137</v>
      </c>
      <c r="G82" s="14" t="s">
        <v>603</v>
      </c>
      <c r="H82" s="14" t="s">
        <v>604</v>
      </c>
      <c r="I82" s="14" t="s">
        <v>44</v>
      </c>
      <c r="J82" s="14" t="s">
        <v>189</v>
      </c>
      <c r="K82" s="14">
        <v>2</v>
      </c>
      <c r="L82" s="175">
        <v>1239.23</v>
      </c>
      <c r="M82" s="175">
        <f>K82*L82</f>
        <v>2478.46</v>
      </c>
    </row>
    <row r="83" spans="1:13" ht="15">
      <c r="A83" s="14" t="s">
        <v>49</v>
      </c>
      <c r="B83" s="14" t="s">
        <v>445</v>
      </c>
      <c r="C83" s="14" t="s">
        <v>44</v>
      </c>
      <c r="D83" s="14" t="s">
        <v>189</v>
      </c>
      <c r="E83" s="14">
        <v>2640.69</v>
      </c>
      <c r="F83" s="14" t="s">
        <v>154</v>
      </c>
      <c r="G83" s="14" t="s">
        <v>605</v>
      </c>
      <c r="H83" s="14" t="s">
        <v>160</v>
      </c>
      <c r="I83" s="14" t="s">
        <v>135</v>
      </c>
      <c r="J83" s="14" t="s">
        <v>191</v>
      </c>
      <c r="K83" s="14">
        <v>3.464</v>
      </c>
      <c r="L83" s="170">
        <v>22.79</v>
      </c>
      <c r="M83" s="175">
        <f>K83*L83</f>
        <v>78.94456</v>
      </c>
    </row>
    <row r="84" spans="1:13" ht="15">
      <c r="A84" s="14" t="s">
        <v>49</v>
      </c>
      <c r="B84" s="14" t="s">
        <v>445</v>
      </c>
      <c r="C84" s="14" t="s">
        <v>44</v>
      </c>
      <c r="D84" s="14" t="s">
        <v>189</v>
      </c>
      <c r="E84" s="14">
        <v>2640.69</v>
      </c>
      <c r="F84" s="14" t="s">
        <v>154</v>
      </c>
      <c r="G84" s="14" t="s">
        <v>157</v>
      </c>
      <c r="H84" s="14" t="s">
        <v>158</v>
      </c>
      <c r="I84" s="14" t="s">
        <v>135</v>
      </c>
      <c r="J84" s="14" t="s">
        <v>191</v>
      </c>
      <c r="K84" s="14">
        <v>1.732</v>
      </c>
      <c r="L84" s="170">
        <v>18.84</v>
      </c>
      <c r="M84" s="175">
        <f>K84*L84</f>
        <v>32.63088</v>
      </c>
    </row>
    <row r="85" spans="1:13" ht="15">
      <c r="A85" s="14" t="s">
        <v>49</v>
      </c>
      <c r="B85" s="14" t="s">
        <v>445</v>
      </c>
      <c r="C85" s="14" t="s">
        <v>44</v>
      </c>
      <c r="D85" s="14" t="s">
        <v>189</v>
      </c>
      <c r="E85" s="14">
        <v>2640.69</v>
      </c>
      <c r="F85" s="14" t="s">
        <v>154</v>
      </c>
      <c r="G85" s="14" t="s">
        <v>606</v>
      </c>
      <c r="H85" s="14" t="s">
        <v>593</v>
      </c>
      <c r="I85" s="14" t="s">
        <v>19</v>
      </c>
      <c r="J85" s="14" t="s">
        <v>189</v>
      </c>
      <c r="K85" s="14">
        <v>0.0844</v>
      </c>
      <c r="L85" s="170">
        <v>600.13</v>
      </c>
      <c r="M85" s="175">
        <f>K85*L85</f>
        <v>50.650972</v>
      </c>
    </row>
    <row r="86" spans="1:13" ht="15">
      <c r="A86" s="174"/>
      <c r="B86" s="14"/>
      <c r="C86" s="14"/>
      <c r="D86" s="14"/>
      <c r="E86" s="14"/>
      <c r="F86" s="14"/>
      <c r="G86" s="14"/>
      <c r="H86" s="14"/>
      <c r="I86" s="14"/>
      <c r="J86" s="14"/>
      <c r="K86" s="14"/>
      <c r="L86" s="170"/>
      <c r="M86" s="171">
        <f>SUM(M82:M85)</f>
        <v>2640.686412</v>
      </c>
    </row>
    <row r="87" spans="1:13" ht="15">
      <c r="A87" s="174"/>
      <c r="B87" s="14"/>
      <c r="C87" s="14"/>
      <c r="D87" s="14"/>
      <c r="E87" s="14"/>
      <c r="F87" s="14"/>
      <c r="G87" s="14"/>
      <c r="H87" s="14"/>
      <c r="I87" s="14"/>
      <c r="J87" s="14"/>
      <c r="K87" s="14"/>
      <c r="L87" s="170"/>
      <c r="M87" s="170"/>
    </row>
    <row r="88" spans="1:13" ht="15">
      <c r="A88" s="176" t="s">
        <v>50</v>
      </c>
      <c r="B88" s="15" t="s">
        <v>175</v>
      </c>
      <c r="C88" s="15" t="s">
        <v>33</v>
      </c>
      <c r="D88" s="15" t="s">
        <v>575</v>
      </c>
      <c r="E88" s="177">
        <v>149.79282800000001</v>
      </c>
      <c r="F88" s="15"/>
      <c r="G88" s="15"/>
      <c r="H88" s="15"/>
      <c r="I88" s="15"/>
      <c r="J88" s="15"/>
      <c r="K88" s="15"/>
      <c r="L88" s="178"/>
      <c r="M88" s="178"/>
    </row>
    <row r="89" spans="1:13" ht="15">
      <c r="A89" s="176" t="s">
        <v>50</v>
      </c>
      <c r="B89" s="15" t="s">
        <v>175</v>
      </c>
      <c r="C89" s="15" t="s">
        <v>33</v>
      </c>
      <c r="D89" s="15" t="s">
        <v>575</v>
      </c>
      <c r="E89" s="177">
        <v>149.79282800000001</v>
      </c>
      <c r="F89" s="15" t="s">
        <v>137</v>
      </c>
      <c r="G89" s="15" t="s">
        <v>176</v>
      </c>
      <c r="H89" s="15" t="s">
        <v>177</v>
      </c>
      <c r="I89" s="15" t="s">
        <v>33</v>
      </c>
      <c r="J89" s="15" t="s">
        <v>575</v>
      </c>
      <c r="K89" s="15">
        <v>1.0211</v>
      </c>
      <c r="L89" s="178">
        <v>88.48</v>
      </c>
      <c r="M89" s="179">
        <f aca="true" t="shared" si="6" ref="M89:M94">K89*L89</f>
        <v>90.34692799999999</v>
      </c>
    </row>
    <row r="90" spans="1:13" ht="15">
      <c r="A90" s="176" t="s">
        <v>50</v>
      </c>
      <c r="B90" s="15" t="s">
        <v>175</v>
      </c>
      <c r="C90" s="15" t="s">
        <v>33</v>
      </c>
      <c r="D90" s="15" t="s">
        <v>575</v>
      </c>
      <c r="E90" s="177">
        <v>149.79282800000001</v>
      </c>
      <c r="F90" s="15" t="s">
        <v>154</v>
      </c>
      <c r="G90" s="15" t="s">
        <v>166</v>
      </c>
      <c r="H90" s="15" t="s">
        <v>167</v>
      </c>
      <c r="I90" s="15" t="s">
        <v>135</v>
      </c>
      <c r="J90" s="15" t="s">
        <v>189</v>
      </c>
      <c r="K90" s="15">
        <v>0.51</v>
      </c>
      <c r="L90" s="178">
        <v>19.53</v>
      </c>
      <c r="M90" s="179">
        <f t="shared" si="6"/>
        <v>9.9603</v>
      </c>
    </row>
    <row r="91" spans="1:13" ht="15">
      <c r="A91" s="176" t="s">
        <v>50</v>
      </c>
      <c r="B91" s="15" t="s">
        <v>175</v>
      </c>
      <c r="C91" s="15" t="s">
        <v>33</v>
      </c>
      <c r="D91" s="15" t="s">
        <v>575</v>
      </c>
      <c r="E91" s="177">
        <v>149.79282800000001</v>
      </c>
      <c r="F91" s="15" t="s">
        <v>154</v>
      </c>
      <c r="G91" s="15" t="s">
        <v>168</v>
      </c>
      <c r="H91" s="15" t="s">
        <v>161</v>
      </c>
      <c r="I91" s="15" t="s">
        <v>135</v>
      </c>
      <c r="J91" s="15" t="s">
        <v>191</v>
      </c>
      <c r="K91" s="15">
        <v>0.51</v>
      </c>
      <c r="L91" s="178">
        <v>22.28</v>
      </c>
      <c r="M91" s="179">
        <f t="shared" si="6"/>
        <v>11.3628</v>
      </c>
    </row>
    <row r="92" spans="1:13" ht="15">
      <c r="A92" s="176" t="s">
        <v>50</v>
      </c>
      <c r="B92" s="15" t="s">
        <v>175</v>
      </c>
      <c r="C92" s="15" t="s">
        <v>33</v>
      </c>
      <c r="D92" s="15" t="s">
        <v>575</v>
      </c>
      <c r="E92" s="177">
        <v>149.79282800000001</v>
      </c>
      <c r="F92" s="15" t="s">
        <v>137</v>
      </c>
      <c r="G92" s="15" t="s">
        <v>169</v>
      </c>
      <c r="H92" s="15" t="s">
        <v>170</v>
      </c>
      <c r="I92" s="15" t="s">
        <v>44</v>
      </c>
      <c r="J92" s="15" t="s">
        <v>575</v>
      </c>
      <c r="K92" s="15">
        <v>0.1</v>
      </c>
      <c r="L92" s="178">
        <v>333.94</v>
      </c>
      <c r="M92" s="179">
        <f t="shared" si="6"/>
        <v>33.394</v>
      </c>
    </row>
    <row r="93" spans="1:13" ht="15">
      <c r="A93" s="176" t="s">
        <v>50</v>
      </c>
      <c r="B93" s="15" t="s">
        <v>175</v>
      </c>
      <c r="C93" s="15" t="s">
        <v>33</v>
      </c>
      <c r="D93" s="15" t="s">
        <v>575</v>
      </c>
      <c r="E93" s="177">
        <v>149.79282800000001</v>
      </c>
      <c r="F93" s="15" t="s">
        <v>137</v>
      </c>
      <c r="G93" s="15" t="s">
        <v>171</v>
      </c>
      <c r="H93" s="15" t="s">
        <v>172</v>
      </c>
      <c r="I93" s="15" t="s">
        <v>44</v>
      </c>
      <c r="J93" s="15" t="s">
        <v>189</v>
      </c>
      <c r="K93" s="15">
        <v>1</v>
      </c>
      <c r="L93" s="178">
        <v>2.28</v>
      </c>
      <c r="M93" s="179">
        <f t="shared" si="6"/>
        <v>2.28</v>
      </c>
    </row>
    <row r="94" spans="1:13" ht="15">
      <c r="A94" s="176" t="s">
        <v>50</v>
      </c>
      <c r="B94" s="15" t="s">
        <v>175</v>
      </c>
      <c r="C94" s="15" t="s">
        <v>33</v>
      </c>
      <c r="D94" s="15" t="s">
        <v>575</v>
      </c>
      <c r="E94" s="177">
        <v>149.79282800000001</v>
      </c>
      <c r="F94" s="15" t="s">
        <v>137</v>
      </c>
      <c r="G94" s="15" t="s">
        <v>173</v>
      </c>
      <c r="H94" s="15" t="s">
        <v>174</v>
      </c>
      <c r="I94" s="15" t="s">
        <v>44</v>
      </c>
      <c r="J94" s="15" t="s">
        <v>575</v>
      </c>
      <c r="K94" s="15">
        <v>0.04</v>
      </c>
      <c r="L94" s="178">
        <v>61.22</v>
      </c>
      <c r="M94" s="179">
        <f t="shared" si="6"/>
        <v>2.4488</v>
      </c>
    </row>
    <row r="95" spans="1:13" ht="15">
      <c r="A95" s="176"/>
      <c r="B95" s="15"/>
      <c r="C95" s="15"/>
      <c r="D95" s="15"/>
      <c r="E95" s="15"/>
      <c r="F95" s="15"/>
      <c r="G95" s="15"/>
      <c r="H95" s="15"/>
      <c r="I95" s="15"/>
      <c r="J95" s="15"/>
      <c r="K95" s="15"/>
      <c r="L95" s="178"/>
      <c r="M95" s="179">
        <f>SUM(M89:M94)</f>
        <v>149.79282800000001</v>
      </c>
    </row>
    <row r="96" spans="1:13" ht="15">
      <c r="A96" s="182"/>
      <c r="B96" s="180"/>
      <c r="C96" s="180"/>
      <c r="D96" s="180"/>
      <c r="E96" s="180"/>
      <c r="F96" s="180"/>
      <c r="G96" s="180"/>
      <c r="H96" s="180"/>
      <c r="I96" s="180"/>
      <c r="J96" s="180"/>
      <c r="K96" s="180"/>
      <c r="L96" s="181"/>
      <c r="M96" s="181"/>
    </row>
    <row r="97" spans="1:13" ht="15">
      <c r="A97" s="182"/>
      <c r="B97" s="180"/>
      <c r="C97" s="180"/>
      <c r="D97" s="180"/>
      <c r="E97" s="180"/>
      <c r="F97" s="180"/>
      <c r="G97" s="180"/>
      <c r="H97" s="180"/>
      <c r="I97" s="180"/>
      <c r="J97" s="180"/>
      <c r="K97" s="180"/>
      <c r="L97" s="181"/>
      <c r="M97" s="183"/>
    </row>
    <row r="98" spans="1:13" ht="15">
      <c r="A98" s="176" t="s">
        <v>97</v>
      </c>
      <c r="B98" s="180" t="s">
        <v>553</v>
      </c>
      <c r="C98" s="15" t="s">
        <v>33</v>
      </c>
      <c r="D98" s="15" t="s">
        <v>575</v>
      </c>
      <c r="E98" s="177">
        <v>324.116442</v>
      </c>
      <c r="F98" s="15"/>
      <c r="G98" s="15"/>
      <c r="H98" s="15"/>
      <c r="I98" s="15"/>
      <c r="J98" s="15"/>
      <c r="K98" s="15"/>
      <c r="L98" s="178"/>
      <c r="M98" s="178"/>
    </row>
    <row r="99" spans="1:13" ht="15">
      <c r="A99" s="176" t="s">
        <v>97</v>
      </c>
      <c r="B99" s="180" t="s">
        <v>553</v>
      </c>
      <c r="C99" s="15" t="s">
        <v>33</v>
      </c>
      <c r="D99" s="15" t="s">
        <v>575</v>
      </c>
      <c r="E99" s="177">
        <v>324.116442</v>
      </c>
      <c r="F99" s="15" t="s">
        <v>137</v>
      </c>
      <c r="G99" s="15" t="s">
        <v>178</v>
      </c>
      <c r="H99" s="180" t="s">
        <v>179</v>
      </c>
      <c r="I99" s="15" t="s">
        <v>33</v>
      </c>
      <c r="J99" s="15" t="s">
        <v>575</v>
      </c>
      <c r="K99" s="15">
        <v>1.0211</v>
      </c>
      <c r="L99" s="178">
        <v>260.62</v>
      </c>
      <c r="M99" s="179">
        <f aca="true" t="shared" si="7" ref="M99:M104">K99*L99</f>
        <v>266.119082</v>
      </c>
    </row>
    <row r="100" spans="1:13" ht="15">
      <c r="A100" s="176" t="s">
        <v>97</v>
      </c>
      <c r="B100" s="180" t="s">
        <v>553</v>
      </c>
      <c r="C100" s="15" t="s">
        <v>33</v>
      </c>
      <c r="D100" s="15" t="s">
        <v>575</v>
      </c>
      <c r="E100" s="177">
        <v>324.116442</v>
      </c>
      <c r="F100" s="15" t="s">
        <v>154</v>
      </c>
      <c r="G100" s="15" t="s">
        <v>166</v>
      </c>
      <c r="H100" s="15" t="s">
        <v>167</v>
      </c>
      <c r="I100" s="15" t="s">
        <v>135</v>
      </c>
      <c r="J100" s="15" t="s">
        <v>189</v>
      </c>
      <c r="K100" s="15">
        <v>0.076</v>
      </c>
      <c r="L100" s="178">
        <v>19.53</v>
      </c>
      <c r="M100" s="179">
        <f t="shared" si="7"/>
        <v>1.48428</v>
      </c>
    </row>
    <row r="101" spans="1:13" ht="15">
      <c r="A101" s="176" t="s">
        <v>97</v>
      </c>
      <c r="B101" s="180" t="s">
        <v>553</v>
      </c>
      <c r="C101" s="15" t="s">
        <v>33</v>
      </c>
      <c r="D101" s="15" t="s">
        <v>575</v>
      </c>
      <c r="E101" s="177">
        <v>324.116442</v>
      </c>
      <c r="F101" s="15" t="s">
        <v>154</v>
      </c>
      <c r="G101" s="15" t="s">
        <v>168</v>
      </c>
      <c r="H101" s="15" t="s">
        <v>161</v>
      </c>
      <c r="I101" s="15" t="s">
        <v>135</v>
      </c>
      <c r="J101" s="15" t="s">
        <v>191</v>
      </c>
      <c r="K101" s="15">
        <v>0.076</v>
      </c>
      <c r="L101" s="178">
        <v>22.28</v>
      </c>
      <c r="M101" s="179">
        <f t="shared" si="7"/>
        <v>1.6932800000000001</v>
      </c>
    </row>
    <row r="102" spans="1:13" ht="15">
      <c r="A102" s="176" t="s">
        <v>97</v>
      </c>
      <c r="B102" s="180" t="s">
        <v>553</v>
      </c>
      <c r="C102" s="15" t="s">
        <v>33</v>
      </c>
      <c r="D102" s="15" t="s">
        <v>575</v>
      </c>
      <c r="E102" s="177">
        <v>324.116442</v>
      </c>
      <c r="F102" s="15" t="s">
        <v>137</v>
      </c>
      <c r="G102" s="15" t="s">
        <v>169</v>
      </c>
      <c r="H102" s="15" t="s">
        <v>170</v>
      </c>
      <c r="I102" s="15" t="s">
        <v>44</v>
      </c>
      <c r="J102" s="15" t="s">
        <v>575</v>
      </c>
      <c r="K102" s="15">
        <v>0.15</v>
      </c>
      <c r="L102" s="178">
        <v>333.94</v>
      </c>
      <c r="M102" s="179">
        <f t="shared" si="7"/>
        <v>50.091</v>
      </c>
    </row>
    <row r="103" spans="1:13" ht="15">
      <c r="A103" s="176" t="s">
        <v>97</v>
      </c>
      <c r="B103" s="180" t="s">
        <v>553</v>
      </c>
      <c r="C103" s="15" t="s">
        <v>33</v>
      </c>
      <c r="D103" s="15" t="s">
        <v>575</v>
      </c>
      <c r="E103" s="177">
        <v>324.116442</v>
      </c>
      <c r="F103" s="15" t="s">
        <v>137</v>
      </c>
      <c r="G103" s="15" t="s">
        <v>171</v>
      </c>
      <c r="H103" s="15" t="s">
        <v>172</v>
      </c>
      <c r="I103" s="15" t="s">
        <v>44</v>
      </c>
      <c r="J103" s="15" t="s">
        <v>189</v>
      </c>
      <c r="K103" s="15">
        <v>1</v>
      </c>
      <c r="L103" s="178">
        <v>2.28</v>
      </c>
      <c r="M103" s="179">
        <f t="shared" si="7"/>
        <v>2.28</v>
      </c>
    </row>
    <row r="104" spans="1:13" ht="15">
      <c r="A104" s="176" t="s">
        <v>97</v>
      </c>
      <c r="B104" s="180" t="s">
        <v>553</v>
      </c>
      <c r="C104" s="15" t="s">
        <v>33</v>
      </c>
      <c r="D104" s="15" t="s">
        <v>575</v>
      </c>
      <c r="E104" s="177">
        <v>324.116442</v>
      </c>
      <c r="F104" s="15" t="s">
        <v>137</v>
      </c>
      <c r="G104" s="15" t="s">
        <v>173</v>
      </c>
      <c r="H104" s="15" t="s">
        <v>174</v>
      </c>
      <c r="I104" s="15" t="s">
        <v>44</v>
      </c>
      <c r="J104" s="15" t="s">
        <v>575</v>
      </c>
      <c r="K104" s="15">
        <v>0.04</v>
      </c>
      <c r="L104" s="178">
        <v>61.22</v>
      </c>
      <c r="M104" s="179">
        <f t="shared" si="7"/>
        <v>2.4488</v>
      </c>
    </row>
    <row r="105" spans="1:13" ht="15">
      <c r="A105" s="176"/>
      <c r="B105" s="15"/>
      <c r="C105" s="15"/>
      <c r="D105" s="15"/>
      <c r="E105" s="15"/>
      <c r="F105" s="15"/>
      <c r="G105" s="15"/>
      <c r="H105" s="15"/>
      <c r="I105" s="15"/>
      <c r="J105" s="15"/>
      <c r="K105" s="15"/>
      <c r="L105" s="178"/>
      <c r="M105" s="179">
        <f>SUM(M99:M104)</f>
        <v>324.116442</v>
      </c>
    </row>
    <row r="108" spans="1:13" ht="15">
      <c r="A108" s="176" t="s">
        <v>636</v>
      </c>
      <c r="B108" s="180" t="s">
        <v>51</v>
      </c>
      <c r="C108" s="14" t="s">
        <v>44</v>
      </c>
      <c r="D108" s="15" t="s">
        <v>575</v>
      </c>
      <c r="E108" s="177"/>
      <c r="F108" s="15" t="s">
        <v>154</v>
      </c>
      <c r="G108" s="15" t="s">
        <v>637</v>
      </c>
      <c r="H108" s="15" t="s">
        <v>638</v>
      </c>
      <c r="I108" s="15" t="s">
        <v>13</v>
      </c>
      <c r="J108" s="15" t="s">
        <v>575</v>
      </c>
      <c r="K108" s="15">
        <v>1</v>
      </c>
      <c r="L108" s="178">
        <v>526.61</v>
      </c>
      <c r="M108" s="179">
        <f>+L108*K108</f>
        <v>526.61</v>
      </c>
    </row>
    <row r="109" spans="1:13" ht="15">
      <c r="A109" s="176"/>
      <c r="B109" s="180"/>
      <c r="C109" s="15"/>
      <c r="D109" s="15"/>
      <c r="E109" s="177"/>
      <c r="F109" s="15"/>
      <c r="G109" s="15"/>
      <c r="H109" s="15"/>
      <c r="I109" s="15"/>
      <c r="J109" s="15"/>
      <c r="K109" s="15"/>
      <c r="L109" s="178"/>
      <c r="M109" s="179"/>
    </row>
    <row r="110" spans="1:13" ht="15">
      <c r="A110" s="176"/>
      <c r="B110" s="180"/>
      <c r="C110" s="15"/>
      <c r="D110" s="15"/>
      <c r="E110" s="177"/>
      <c r="F110" s="15"/>
      <c r="G110" s="15"/>
      <c r="H110" s="15"/>
      <c r="I110" s="15"/>
      <c r="J110" s="15"/>
      <c r="K110" s="15"/>
      <c r="L110" s="178"/>
      <c r="M110" s="179"/>
    </row>
    <row r="112" spans="1:13" ht="15">
      <c r="A112" s="176" t="s">
        <v>644</v>
      </c>
      <c r="B112" s="230" t="s">
        <v>645</v>
      </c>
      <c r="C112" s="230" t="s">
        <v>13</v>
      </c>
      <c r="D112" s="230" t="s">
        <v>575</v>
      </c>
      <c r="E112" s="235">
        <v>207.652294</v>
      </c>
      <c r="F112" s="230" t="s">
        <v>643</v>
      </c>
      <c r="G112" s="230" t="s">
        <v>643</v>
      </c>
      <c r="H112" s="230" t="s">
        <v>643</v>
      </c>
      <c r="I112" s="230" t="s">
        <v>643</v>
      </c>
      <c r="J112" s="230" t="s">
        <v>643</v>
      </c>
      <c r="K112" s="230" t="s">
        <v>643</v>
      </c>
      <c r="L112" s="231" t="s">
        <v>643</v>
      </c>
      <c r="M112" s="231" t="s">
        <v>643</v>
      </c>
    </row>
    <row r="113" spans="1:13" ht="15">
      <c r="A113" s="176" t="s">
        <v>644</v>
      </c>
      <c r="B113" s="230" t="s">
        <v>645</v>
      </c>
      <c r="C113" s="230" t="s">
        <v>13</v>
      </c>
      <c r="D113" s="230" t="s">
        <v>575</v>
      </c>
      <c r="E113" s="235">
        <v>207.652294</v>
      </c>
      <c r="F113" s="230" t="s">
        <v>137</v>
      </c>
      <c r="G113" s="230" t="s">
        <v>138</v>
      </c>
      <c r="H113" s="230" t="s">
        <v>139</v>
      </c>
      <c r="I113" s="230" t="s">
        <v>140</v>
      </c>
      <c r="J113" s="230" t="s">
        <v>575</v>
      </c>
      <c r="K113" s="232">
        <v>0.0486</v>
      </c>
      <c r="L113" s="233">
        <v>47.42</v>
      </c>
      <c r="M113" s="234">
        <f>K113*L113</f>
        <v>2.304612</v>
      </c>
    </row>
    <row r="114" spans="1:13" ht="15">
      <c r="A114" s="176" t="s">
        <v>644</v>
      </c>
      <c r="B114" s="230" t="s">
        <v>645</v>
      </c>
      <c r="C114" s="230" t="s">
        <v>13</v>
      </c>
      <c r="D114" s="230" t="s">
        <v>575</v>
      </c>
      <c r="E114" s="235">
        <v>207.652294</v>
      </c>
      <c r="F114" s="230" t="s">
        <v>137</v>
      </c>
      <c r="G114" s="230">
        <v>39415</v>
      </c>
      <c r="H114" s="230" t="s">
        <v>646</v>
      </c>
      <c r="I114" s="230" t="s">
        <v>13</v>
      </c>
      <c r="J114" s="230" t="s">
        <v>189</v>
      </c>
      <c r="K114" s="232">
        <v>4.212</v>
      </c>
      <c r="L114" s="233">
        <v>24.15</v>
      </c>
      <c r="M114" s="234">
        <f aca="true" t="shared" si="8" ref="M114:M123">K114*L114</f>
        <v>101.71979999999999</v>
      </c>
    </row>
    <row r="115" spans="1:13" ht="15">
      <c r="A115" s="176" t="s">
        <v>644</v>
      </c>
      <c r="B115" s="230" t="s">
        <v>645</v>
      </c>
      <c r="C115" s="230" t="s">
        <v>13</v>
      </c>
      <c r="D115" s="230" t="s">
        <v>575</v>
      </c>
      <c r="E115" s="235">
        <v>207.652294</v>
      </c>
      <c r="F115" s="230" t="s">
        <v>137</v>
      </c>
      <c r="G115" s="230">
        <v>39418</v>
      </c>
      <c r="H115" s="230" t="s">
        <v>648</v>
      </c>
      <c r="I115" s="230" t="s">
        <v>595</v>
      </c>
      <c r="J115" s="230" t="s">
        <v>189</v>
      </c>
      <c r="K115" s="232">
        <v>1.5208</v>
      </c>
      <c r="L115" s="233">
        <v>10.12</v>
      </c>
      <c r="M115" s="234">
        <f t="shared" si="8"/>
        <v>15.390495999999999</v>
      </c>
    </row>
    <row r="116" spans="1:13" ht="15">
      <c r="A116" s="176" t="s">
        <v>644</v>
      </c>
      <c r="B116" s="230" t="s">
        <v>645</v>
      </c>
      <c r="C116" s="230" t="s">
        <v>13</v>
      </c>
      <c r="D116" s="230" t="s">
        <v>575</v>
      </c>
      <c r="E116" s="235">
        <v>207.652294</v>
      </c>
      <c r="F116" s="230" t="s">
        <v>137</v>
      </c>
      <c r="G116" s="230">
        <v>39421</v>
      </c>
      <c r="H116" s="230" t="s">
        <v>647</v>
      </c>
      <c r="I116" s="230" t="s">
        <v>595</v>
      </c>
      <c r="J116" s="230" t="s">
        <v>191</v>
      </c>
      <c r="K116" s="232">
        <v>3.982</v>
      </c>
      <c r="L116" s="233">
        <v>11.98</v>
      </c>
      <c r="M116" s="234">
        <f t="shared" si="8"/>
        <v>47.70436</v>
      </c>
    </row>
    <row r="117" spans="1:13" ht="15">
      <c r="A117" s="176" t="s">
        <v>644</v>
      </c>
      <c r="B117" s="230" t="s">
        <v>645</v>
      </c>
      <c r="C117" s="230" t="s">
        <v>13</v>
      </c>
      <c r="D117" s="230" t="s">
        <v>575</v>
      </c>
      <c r="E117" s="235">
        <v>207.652294</v>
      </c>
      <c r="F117" s="230" t="s">
        <v>137</v>
      </c>
      <c r="G117" s="230" t="s">
        <v>145</v>
      </c>
      <c r="H117" s="230" t="s">
        <v>146</v>
      </c>
      <c r="I117" s="230" t="s">
        <v>33</v>
      </c>
      <c r="J117" s="230" t="s">
        <v>189</v>
      </c>
      <c r="K117" s="232">
        <v>2.5027</v>
      </c>
      <c r="L117" s="233">
        <v>0.34</v>
      </c>
      <c r="M117" s="234">
        <f t="shared" si="8"/>
        <v>0.8509180000000001</v>
      </c>
    </row>
    <row r="118" spans="1:13" ht="15">
      <c r="A118" s="176" t="s">
        <v>644</v>
      </c>
      <c r="B118" s="230" t="s">
        <v>645</v>
      </c>
      <c r="C118" s="230" t="s">
        <v>13</v>
      </c>
      <c r="D118" s="230" t="s">
        <v>575</v>
      </c>
      <c r="E118" s="235">
        <v>207.652294</v>
      </c>
      <c r="F118" s="230" t="s">
        <v>137</v>
      </c>
      <c r="G118" s="230" t="s">
        <v>147</v>
      </c>
      <c r="H118" s="230" t="s">
        <v>148</v>
      </c>
      <c r="I118" s="230" t="s">
        <v>33</v>
      </c>
      <c r="J118" s="230" t="s">
        <v>189</v>
      </c>
      <c r="K118" s="232">
        <v>0.7407</v>
      </c>
      <c r="L118" s="233">
        <v>3.03</v>
      </c>
      <c r="M118" s="234">
        <f t="shared" si="8"/>
        <v>2.244321</v>
      </c>
    </row>
    <row r="119" spans="1:13" ht="15">
      <c r="A119" s="176" t="s">
        <v>644</v>
      </c>
      <c r="B119" s="230" t="s">
        <v>645</v>
      </c>
      <c r="C119" s="230" t="s">
        <v>13</v>
      </c>
      <c r="D119" s="230" t="s">
        <v>575</v>
      </c>
      <c r="E119" s="235">
        <v>207.652294</v>
      </c>
      <c r="F119" s="230" t="s">
        <v>137</v>
      </c>
      <c r="G119" s="230" t="s">
        <v>149</v>
      </c>
      <c r="H119" s="230" t="s">
        <v>578</v>
      </c>
      <c r="I119" s="230" t="s">
        <v>111</v>
      </c>
      <c r="J119" s="230" t="s">
        <v>189</v>
      </c>
      <c r="K119" s="232">
        <v>1.0327</v>
      </c>
      <c r="L119" s="233">
        <v>3.79</v>
      </c>
      <c r="M119" s="234">
        <f t="shared" si="8"/>
        <v>3.9139329999999997</v>
      </c>
    </row>
    <row r="120" spans="1:13" ht="15">
      <c r="A120" s="176" t="s">
        <v>644</v>
      </c>
      <c r="B120" s="230" t="s">
        <v>645</v>
      </c>
      <c r="C120" s="230" t="s">
        <v>13</v>
      </c>
      <c r="D120" s="230" t="s">
        <v>575</v>
      </c>
      <c r="E120" s="235">
        <v>207.652294</v>
      </c>
      <c r="F120" s="230" t="s">
        <v>137</v>
      </c>
      <c r="G120" s="230" t="s">
        <v>150</v>
      </c>
      <c r="H120" s="230" t="s">
        <v>151</v>
      </c>
      <c r="I120" s="230" t="s">
        <v>44</v>
      </c>
      <c r="J120" s="230" t="s">
        <v>575</v>
      </c>
      <c r="K120" s="232">
        <v>40.0154</v>
      </c>
      <c r="L120" s="233">
        <v>0.1</v>
      </c>
      <c r="M120" s="234">
        <f t="shared" si="8"/>
        <v>4.00154</v>
      </c>
    </row>
    <row r="121" spans="1:13" ht="15">
      <c r="A121" s="176" t="s">
        <v>644</v>
      </c>
      <c r="B121" s="230" t="s">
        <v>645</v>
      </c>
      <c r="C121" s="230" t="s">
        <v>13</v>
      </c>
      <c r="D121" s="230" t="s">
        <v>575</v>
      </c>
      <c r="E121" s="235">
        <v>207.652294</v>
      </c>
      <c r="F121" s="230" t="s">
        <v>137</v>
      </c>
      <c r="G121" s="230" t="s">
        <v>152</v>
      </c>
      <c r="H121" s="230" t="s">
        <v>153</v>
      </c>
      <c r="I121" s="230" t="s">
        <v>44</v>
      </c>
      <c r="J121" s="230" t="s">
        <v>575</v>
      </c>
      <c r="K121" s="232">
        <v>1.6152</v>
      </c>
      <c r="L121" s="233">
        <v>0.25</v>
      </c>
      <c r="M121" s="234">
        <f t="shared" si="8"/>
        <v>0.4038</v>
      </c>
    </row>
    <row r="122" spans="1:13" ht="15">
      <c r="A122" s="176" t="s">
        <v>644</v>
      </c>
      <c r="B122" s="230" t="s">
        <v>645</v>
      </c>
      <c r="C122" s="230" t="s">
        <v>13</v>
      </c>
      <c r="D122" s="230" t="s">
        <v>575</v>
      </c>
      <c r="E122" s="235">
        <v>207.652294</v>
      </c>
      <c r="F122" s="230" t="s">
        <v>154</v>
      </c>
      <c r="G122" s="230" t="s">
        <v>155</v>
      </c>
      <c r="H122" s="230" t="s">
        <v>156</v>
      </c>
      <c r="I122" s="230" t="s">
        <v>135</v>
      </c>
      <c r="J122" s="230" t="s">
        <v>189</v>
      </c>
      <c r="K122" s="232">
        <v>1.0898</v>
      </c>
      <c r="L122" s="233">
        <v>22.01</v>
      </c>
      <c r="M122" s="234">
        <f t="shared" si="8"/>
        <v>23.986498000000005</v>
      </c>
    </row>
    <row r="123" spans="1:13" ht="15">
      <c r="A123" s="176" t="s">
        <v>644</v>
      </c>
      <c r="B123" s="230" t="s">
        <v>645</v>
      </c>
      <c r="C123" s="230" t="s">
        <v>13</v>
      </c>
      <c r="D123" s="230" t="s">
        <v>575</v>
      </c>
      <c r="E123" s="235">
        <v>207.652294</v>
      </c>
      <c r="F123" s="230" t="s">
        <v>154</v>
      </c>
      <c r="G123" s="230" t="s">
        <v>157</v>
      </c>
      <c r="H123" s="230" t="s">
        <v>158</v>
      </c>
      <c r="I123" s="230" t="s">
        <v>135</v>
      </c>
      <c r="J123" s="230" t="s">
        <v>191</v>
      </c>
      <c r="K123" s="232">
        <v>0.2724</v>
      </c>
      <c r="L123" s="233">
        <v>18.84</v>
      </c>
      <c r="M123" s="234">
        <f t="shared" si="8"/>
        <v>5.132015999999999</v>
      </c>
    </row>
    <row r="124" ht="15">
      <c r="M124" s="234">
        <f>SUM(M113:M123)</f>
        <v>207.652294</v>
      </c>
    </row>
    <row r="127" spans="1:13" ht="15">
      <c r="A127" s="176" t="s">
        <v>649</v>
      </c>
      <c r="B127" s="230" t="s">
        <v>650</v>
      </c>
      <c r="C127" s="230" t="s">
        <v>13</v>
      </c>
      <c r="D127" s="230" t="s">
        <v>575</v>
      </c>
      <c r="E127" s="230">
        <v>86.86</v>
      </c>
      <c r="F127" s="230" t="s">
        <v>643</v>
      </c>
      <c r="G127" s="230" t="s">
        <v>643</v>
      </c>
      <c r="H127" s="230" t="s">
        <v>643</v>
      </c>
      <c r="I127" s="230" t="s">
        <v>643</v>
      </c>
      <c r="J127" s="230" t="s">
        <v>643</v>
      </c>
      <c r="K127" s="230" t="s">
        <v>643</v>
      </c>
      <c r="L127" s="231" t="s">
        <v>643</v>
      </c>
      <c r="M127" s="231" t="s">
        <v>643</v>
      </c>
    </row>
    <row r="128" spans="1:13" ht="15">
      <c r="A128" s="176" t="s">
        <v>649</v>
      </c>
      <c r="B128" s="230" t="s">
        <v>650</v>
      </c>
      <c r="C128" s="230" t="s">
        <v>13</v>
      </c>
      <c r="D128" s="230" t="s">
        <v>575</v>
      </c>
      <c r="E128" s="230">
        <v>86.86</v>
      </c>
      <c r="F128" s="230" t="s">
        <v>137</v>
      </c>
      <c r="G128" s="230" t="s">
        <v>138</v>
      </c>
      <c r="H128" s="230" t="s">
        <v>139</v>
      </c>
      <c r="I128" s="230" t="s">
        <v>140</v>
      </c>
      <c r="J128" s="230" t="s">
        <v>575</v>
      </c>
      <c r="K128" s="232">
        <v>0.0243</v>
      </c>
      <c r="L128" s="233">
        <v>47.42</v>
      </c>
      <c r="M128" s="234">
        <f>K128*L128</f>
        <v>1.152306</v>
      </c>
    </row>
    <row r="129" spans="1:13" ht="15">
      <c r="A129" s="176" t="s">
        <v>649</v>
      </c>
      <c r="B129" s="230" t="s">
        <v>650</v>
      </c>
      <c r="C129" s="230" t="s">
        <v>13</v>
      </c>
      <c r="D129" s="230" t="s">
        <v>575</v>
      </c>
      <c r="E129" s="230">
        <v>86.86</v>
      </c>
      <c r="F129" s="230" t="s">
        <v>137</v>
      </c>
      <c r="G129" s="230">
        <v>39417</v>
      </c>
      <c r="H129" s="230" t="s">
        <v>576</v>
      </c>
      <c r="I129" s="230" t="s">
        <v>577</v>
      </c>
      <c r="J129" s="230" t="s">
        <v>189</v>
      </c>
      <c r="K129" s="232">
        <v>1.053</v>
      </c>
      <c r="L129" s="233">
        <v>28.86</v>
      </c>
      <c r="M129" s="234">
        <f aca="true" t="shared" si="9" ref="M129:M138">K129*L129</f>
        <v>30.38958</v>
      </c>
    </row>
    <row r="130" spans="1:13" ht="15">
      <c r="A130" s="176" t="s">
        <v>649</v>
      </c>
      <c r="B130" s="230" t="s">
        <v>650</v>
      </c>
      <c r="C130" s="230" t="s">
        <v>13</v>
      </c>
      <c r="D130" s="230" t="s">
        <v>575</v>
      </c>
      <c r="E130" s="230">
        <v>86.86</v>
      </c>
      <c r="F130" s="230" t="s">
        <v>137</v>
      </c>
      <c r="G130" s="230">
        <v>39418</v>
      </c>
      <c r="H130" s="230" t="s">
        <v>648</v>
      </c>
      <c r="I130" s="230" t="s">
        <v>595</v>
      </c>
      <c r="J130" s="230" t="s">
        <v>189</v>
      </c>
      <c r="K130" s="232">
        <v>0.7604</v>
      </c>
      <c r="L130" s="233">
        <v>10.12</v>
      </c>
      <c r="M130" s="234">
        <f t="shared" si="9"/>
        <v>7.695247999999999</v>
      </c>
    </row>
    <row r="131" spans="1:13" ht="15">
      <c r="A131" s="176" t="s">
        <v>649</v>
      </c>
      <c r="B131" s="230" t="s">
        <v>650</v>
      </c>
      <c r="C131" s="230" t="s">
        <v>13</v>
      </c>
      <c r="D131" s="230" t="s">
        <v>575</v>
      </c>
      <c r="E131" s="230">
        <v>86.86</v>
      </c>
      <c r="F131" s="230" t="s">
        <v>137</v>
      </c>
      <c r="G131" s="230">
        <v>39421</v>
      </c>
      <c r="H131" s="230" t="s">
        <v>647</v>
      </c>
      <c r="I131" s="230" t="s">
        <v>595</v>
      </c>
      <c r="J131" s="230" t="s">
        <v>191</v>
      </c>
      <c r="K131" s="232">
        <v>1.991</v>
      </c>
      <c r="L131" s="233">
        <v>11.98</v>
      </c>
      <c r="M131" s="234">
        <f t="shared" si="9"/>
        <v>23.85218</v>
      </c>
    </row>
    <row r="132" spans="1:13" ht="15">
      <c r="A132" s="176" t="s">
        <v>649</v>
      </c>
      <c r="B132" s="230" t="s">
        <v>650</v>
      </c>
      <c r="C132" s="230" t="s">
        <v>13</v>
      </c>
      <c r="D132" s="230" t="s">
        <v>575</v>
      </c>
      <c r="E132" s="230">
        <v>86.86</v>
      </c>
      <c r="F132" s="230" t="s">
        <v>137</v>
      </c>
      <c r="G132" s="230" t="s">
        <v>145</v>
      </c>
      <c r="H132" s="230" t="s">
        <v>146</v>
      </c>
      <c r="I132" s="230" t="s">
        <v>33</v>
      </c>
      <c r="J132" s="230" t="s">
        <v>189</v>
      </c>
      <c r="K132" s="232">
        <v>2.5027</v>
      </c>
      <c r="L132" s="233">
        <v>0.34</v>
      </c>
      <c r="M132" s="234">
        <f t="shared" si="9"/>
        <v>0.8509180000000001</v>
      </c>
    </row>
    <row r="133" spans="1:13" ht="15">
      <c r="A133" s="176" t="s">
        <v>649</v>
      </c>
      <c r="B133" s="230" t="s">
        <v>650</v>
      </c>
      <c r="C133" s="230" t="s">
        <v>13</v>
      </c>
      <c r="D133" s="230" t="s">
        <v>575</v>
      </c>
      <c r="E133" s="230">
        <v>86.86</v>
      </c>
      <c r="F133" s="230" t="s">
        <v>137</v>
      </c>
      <c r="G133" s="230" t="s">
        <v>147</v>
      </c>
      <c r="H133" s="230" t="s">
        <v>148</v>
      </c>
      <c r="I133" s="230" t="s">
        <v>33</v>
      </c>
      <c r="J133" s="230" t="s">
        <v>189</v>
      </c>
      <c r="K133" s="232">
        <v>0.7407</v>
      </c>
      <c r="L133" s="233">
        <v>3.03</v>
      </c>
      <c r="M133" s="234">
        <f t="shared" si="9"/>
        <v>2.244321</v>
      </c>
    </row>
    <row r="134" spans="1:13" ht="15">
      <c r="A134" s="176" t="s">
        <v>649</v>
      </c>
      <c r="B134" s="230" t="s">
        <v>650</v>
      </c>
      <c r="C134" s="230" t="s">
        <v>13</v>
      </c>
      <c r="D134" s="230" t="s">
        <v>575</v>
      </c>
      <c r="E134" s="230">
        <v>86.86</v>
      </c>
      <c r="F134" s="230" t="s">
        <v>137</v>
      </c>
      <c r="G134" s="230" t="s">
        <v>149</v>
      </c>
      <c r="H134" s="230" t="s">
        <v>578</v>
      </c>
      <c r="I134" s="230" t="s">
        <v>111</v>
      </c>
      <c r="J134" s="230" t="s">
        <v>189</v>
      </c>
      <c r="K134" s="232">
        <v>1.0327</v>
      </c>
      <c r="L134" s="233">
        <v>3.79</v>
      </c>
      <c r="M134" s="234">
        <f t="shared" si="9"/>
        <v>3.9139329999999997</v>
      </c>
    </row>
    <row r="135" spans="1:13" ht="15">
      <c r="A135" s="176" t="s">
        <v>649</v>
      </c>
      <c r="B135" s="230" t="s">
        <v>650</v>
      </c>
      <c r="C135" s="230" t="s">
        <v>13</v>
      </c>
      <c r="D135" s="230" t="s">
        <v>575</v>
      </c>
      <c r="E135" s="230">
        <v>86.86</v>
      </c>
      <c r="F135" s="230" t="s">
        <v>137</v>
      </c>
      <c r="G135" s="230" t="s">
        <v>150</v>
      </c>
      <c r="H135" s="230" t="s">
        <v>151</v>
      </c>
      <c r="I135" s="230" t="s">
        <v>44</v>
      </c>
      <c r="J135" s="230" t="s">
        <v>575</v>
      </c>
      <c r="K135" s="232">
        <v>20.0077</v>
      </c>
      <c r="L135" s="233">
        <v>0.1</v>
      </c>
      <c r="M135" s="234">
        <f t="shared" si="9"/>
        <v>2.00077</v>
      </c>
    </row>
    <row r="136" spans="1:13" ht="15">
      <c r="A136" s="176" t="s">
        <v>649</v>
      </c>
      <c r="B136" s="230" t="s">
        <v>650</v>
      </c>
      <c r="C136" s="230" t="s">
        <v>13</v>
      </c>
      <c r="D136" s="230" t="s">
        <v>575</v>
      </c>
      <c r="E136" s="230">
        <v>86.86</v>
      </c>
      <c r="F136" s="230" t="s">
        <v>137</v>
      </c>
      <c r="G136" s="230" t="s">
        <v>152</v>
      </c>
      <c r="H136" s="230" t="s">
        <v>153</v>
      </c>
      <c r="I136" s="230" t="s">
        <v>44</v>
      </c>
      <c r="J136" s="230" t="s">
        <v>575</v>
      </c>
      <c r="K136" s="232">
        <v>0.8076</v>
      </c>
      <c r="L136" s="233">
        <v>0.25</v>
      </c>
      <c r="M136" s="234">
        <f t="shared" si="9"/>
        <v>0.2019</v>
      </c>
    </row>
    <row r="137" spans="1:13" ht="15">
      <c r="A137" s="176" t="s">
        <v>649</v>
      </c>
      <c r="B137" s="230" t="s">
        <v>650</v>
      </c>
      <c r="C137" s="230" t="s">
        <v>13</v>
      </c>
      <c r="D137" s="230" t="s">
        <v>575</v>
      </c>
      <c r="E137" s="230">
        <v>86.86</v>
      </c>
      <c r="F137" s="230" t="s">
        <v>154</v>
      </c>
      <c r="G137" s="230" t="s">
        <v>155</v>
      </c>
      <c r="H137" s="230" t="s">
        <v>156</v>
      </c>
      <c r="I137" s="230" t="s">
        <v>135</v>
      </c>
      <c r="J137" s="230" t="s">
        <v>189</v>
      </c>
      <c r="K137" s="232">
        <v>0.5449</v>
      </c>
      <c r="L137" s="233">
        <v>22.01</v>
      </c>
      <c r="M137" s="234">
        <f t="shared" si="9"/>
        <v>11.993249000000002</v>
      </c>
    </row>
    <row r="138" spans="1:13" ht="15">
      <c r="A138" s="176" t="s">
        <v>649</v>
      </c>
      <c r="B138" s="230" t="s">
        <v>650</v>
      </c>
      <c r="C138" s="230" t="s">
        <v>13</v>
      </c>
      <c r="D138" s="230" t="s">
        <v>575</v>
      </c>
      <c r="E138" s="230">
        <v>86.86</v>
      </c>
      <c r="F138" s="230" t="s">
        <v>154</v>
      </c>
      <c r="G138" s="230" t="s">
        <v>157</v>
      </c>
      <c r="H138" s="230" t="s">
        <v>158</v>
      </c>
      <c r="I138" s="230" t="s">
        <v>135</v>
      </c>
      <c r="J138" s="230" t="s">
        <v>191</v>
      </c>
      <c r="K138" s="232">
        <v>0.1362</v>
      </c>
      <c r="L138" s="233">
        <v>18.84</v>
      </c>
      <c r="M138" s="234">
        <f t="shared" si="9"/>
        <v>2.5660079999999996</v>
      </c>
    </row>
    <row r="139" ht="15">
      <c r="M139" s="234">
        <f>SUM(M128:M138)</f>
        <v>86.86041300000001</v>
      </c>
    </row>
  </sheetData>
  <printOptions/>
  <pageMargins left="0.511805555555555" right="0.511805555555555" top="0.7875" bottom="0.7875" header="0.511805555555555" footer="0.51180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O185"/>
  <sheetViews>
    <sheetView workbookViewId="0" topLeftCell="A1">
      <selection activeCell="H7" sqref="H7"/>
    </sheetView>
  </sheetViews>
  <sheetFormatPr defaultColWidth="9.140625" defaultRowHeight="15"/>
  <cols>
    <col min="1" max="1" width="8.7109375" style="16" customWidth="1"/>
    <col min="2" max="2" width="14.28125" style="16" customWidth="1"/>
    <col min="3" max="3" width="31.140625" style="16" customWidth="1"/>
    <col min="4" max="8" width="8.7109375" style="16" customWidth="1"/>
    <col min="9" max="9" width="28.57421875" style="16" customWidth="1"/>
    <col min="10" max="1025" width="8.7109375" style="16" customWidth="1"/>
  </cols>
  <sheetData>
    <row r="1" spans="1:15" ht="15">
      <c r="A1"/>
      <c r="B1"/>
      <c r="C1"/>
      <c r="D1"/>
      <c r="E1"/>
      <c r="F1"/>
      <c r="G1"/>
      <c r="H1"/>
      <c r="I1"/>
      <c r="J1"/>
      <c r="K1"/>
      <c r="L1"/>
      <c r="M1"/>
      <c r="N1"/>
      <c r="O1" s="23" t="e">
        <f>SUM(#REF!)</f>
        <v>#REF!</v>
      </c>
    </row>
    <row r="2" spans="1:14" ht="15" customHeight="1">
      <c r="A2" s="254" t="s">
        <v>180</v>
      </c>
      <c r="B2" s="254"/>
      <c r="C2" s="254"/>
      <c r="D2" s="254"/>
      <c r="E2" s="254"/>
      <c r="F2" s="254"/>
      <c r="G2" s="254"/>
      <c r="H2" s="254"/>
      <c r="I2" s="254"/>
      <c r="J2" s="254"/>
      <c r="K2" s="254"/>
      <c r="L2" s="254"/>
      <c r="M2" s="254"/>
      <c r="N2" s="254"/>
    </row>
    <row r="3" spans="1:14" ht="15">
      <c r="A3" s="17"/>
      <c r="B3" s="18" t="s">
        <v>181</v>
      </c>
      <c r="C3" s="19" t="s">
        <v>182</v>
      </c>
      <c r="D3" s="18" t="s">
        <v>44</v>
      </c>
      <c r="E3" s="18" t="s">
        <v>183</v>
      </c>
      <c r="F3" s="18" t="s">
        <v>184</v>
      </c>
      <c r="G3" s="19" t="s">
        <v>185</v>
      </c>
      <c r="H3" s="18" t="s">
        <v>181</v>
      </c>
      <c r="I3" s="19" t="s">
        <v>182</v>
      </c>
      <c r="J3" s="18" t="s">
        <v>44</v>
      </c>
      <c r="K3" s="18" t="s">
        <v>183</v>
      </c>
      <c r="L3" s="18" t="s">
        <v>186</v>
      </c>
      <c r="M3" s="18" t="s">
        <v>187</v>
      </c>
      <c r="N3" s="18" t="s">
        <v>188</v>
      </c>
    </row>
    <row r="4" spans="1:14" ht="63.75">
      <c r="A4" s="25"/>
      <c r="B4" s="20" t="s">
        <v>113</v>
      </c>
      <c r="C4" s="21" t="s">
        <v>478</v>
      </c>
      <c r="D4" s="22" t="s">
        <v>33</v>
      </c>
      <c r="E4" s="20" t="s">
        <v>189</v>
      </c>
      <c r="F4" s="23">
        <f aca="true" t="shared" si="0" ref="F4:F10">N$11</f>
        <v>95.06244415000002</v>
      </c>
      <c r="G4" s="24"/>
      <c r="H4" s="25"/>
      <c r="I4" s="24"/>
      <c r="J4" s="26"/>
      <c r="K4" s="25"/>
      <c r="L4" s="26"/>
      <c r="M4" s="26"/>
      <c r="N4" s="27"/>
    </row>
    <row r="5" spans="1:14" ht="63.75">
      <c r="A5" s="25"/>
      <c r="B5" s="20" t="s">
        <v>113</v>
      </c>
      <c r="C5" s="21" t="s">
        <v>478</v>
      </c>
      <c r="D5" s="22" t="s">
        <v>33</v>
      </c>
      <c r="E5" s="20" t="s">
        <v>189</v>
      </c>
      <c r="F5" s="23">
        <f t="shared" si="0"/>
        <v>95.06244415000002</v>
      </c>
      <c r="G5" s="20" t="s">
        <v>137</v>
      </c>
      <c r="H5" s="22" t="s">
        <v>192</v>
      </c>
      <c r="I5" s="20" t="s">
        <v>193</v>
      </c>
      <c r="J5" s="20" t="s">
        <v>33</v>
      </c>
      <c r="K5" s="20" t="s">
        <v>192</v>
      </c>
      <c r="L5" s="22">
        <v>0.936</v>
      </c>
      <c r="M5" s="23">
        <v>36.67</v>
      </c>
      <c r="N5" s="23">
        <f aca="true" t="shared" si="1" ref="N5:N10">L5*M5</f>
        <v>34.32312</v>
      </c>
    </row>
    <row r="6" spans="1:14" ht="89.25">
      <c r="A6" s="25"/>
      <c r="B6" s="20" t="s">
        <v>113</v>
      </c>
      <c r="C6" s="21" t="s">
        <v>478</v>
      </c>
      <c r="D6" s="22" t="s">
        <v>33</v>
      </c>
      <c r="E6" s="20" t="s">
        <v>189</v>
      </c>
      <c r="F6" s="23">
        <f t="shared" si="0"/>
        <v>95.06244415000002</v>
      </c>
      <c r="G6" s="20" t="s">
        <v>154</v>
      </c>
      <c r="H6" s="22" t="s">
        <v>194</v>
      </c>
      <c r="I6" s="20" t="s">
        <v>195</v>
      </c>
      <c r="J6" s="20" t="s">
        <v>44</v>
      </c>
      <c r="K6" s="20" t="s">
        <v>192</v>
      </c>
      <c r="L6" s="22">
        <v>0.333</v>
      </c>
      <c r="M6" s="23">
        <f>F13</f>
        <v>70.37755000000001</v>
      </c>
      <c r="N6" s="23">
        <f t="shared" si="1"/>
        <v>23.435724150000006</v>
      </c>
    </row>
    <row r="7" spans="1:14" ht="76.5">
      <c r="A7" s="25"/>
      <c r="B7" s="20" t="s">
        <v>113</v>
      </c>
      <c r="C7" s="21" t="s">
        <v>478</v>
      </c>
      <c r="D7" s="22" t="s">
        <v>33</v>
      </c>
      <c r="E7" s="20" t="s">
        <v>189</v>
      </c>
      <c r="F7" s="23">
        <f t="shared" si="0"/>
        <v>95.06244415000002</v>
      </c>
      <c r="G7" s="20" t="s">
        <v>137</v>
      </c>
      <c r="H7" s="22">
        <v>39029</v>
      </c>
      <c r="I7" s="20" t="s">
        <v>196</v>
      </c>
      <c r="J7" s="20" t="s">
        <v>33</v>
      </c>
      <c r="K7" s="20" t="s">
        <v>192</v>
      </c>
      <c r="L7" s="22">
        <v>1</v>
      </c>
      <c r="M7" s="23">
        <v>25.78</v>
      </c>
      <c r="N7" s="23">
        <f t="shared" si="1"/>
        <v>25.78</v>
      </c>
    </row>
    <row r="8" spans="1:14" ht="63.75">
      <c r="A8" s="25"/>
      <c r="B8" s="20" t="s">
        <v>113</v>
      </c>
      <c r="C8" s="21" t="s">
        <v>478</v>
      </c>
      <c r="D8" s="22" t="s">
        <v>33</v>
      </c>
      <c r="E8" s="20" t="s">
        <v>189</v>
      </c>
      <c r="F8" s="23">
        <f t="shared" si="0"/>
        <v>95.06244415000002</v>
      </c>
      <c r="G8" s="20" t="s">
        <v>137</v>
      </c>
      <c r="H8" s="22"/>
      <c r="I8" s="20" t="s">
        <v>197</v>
      </c>
      <c r="J8" s="20" t="s">
        <v>33</v>
      </c>
      <c r="K8" s="20" t="s">
        <v>192</v>
      </c>
      <c r="L8" s="22">
        <v>0</v>
      </c>
      <c r="M8" s="23">
        <v>0</v>
      </c>
      <c r="N8" s="23">
        <f t="shared" si="1"/>
        <v>0</v>
      </c>
    </row>
    <row r="9" spans="1:14" ht="63.75">
      <c r="A9" s="25"/>
      <c r="B9" s="20" t="s">
        <v>113</v>
      </c>
      <c r="C9" s="21" t="s">
        <v>478</v>
      </c>
      <c r="D9" s="22" t="s">
        <v>33</v>
      </c>
      <c r="E9" s="20" t="s">
        <v>189</v>
      </c>
      <c r="F9" s="23">
        <f t="shared" si="0"/>
        <v>95.06244415000002</v>
      </c>
      <c r="G9" s="20" t="s">
        <v>108</v>
      </c>
      <c r="H9" s="22">
        <v>88247</v>
      </c>
      <c r="I9" s="20" t="s">
        <v>198</v>
      </c>
      <c r="J9" s="20" t="s">
        <v>135</v>
      </c>
      <c r="K9" s="20" t="s">
        <v>191</v>
      </c>
      <c r="L9" s="22">
        <v>0.264</v>
      </c>
      <c r="M9" s="22">
        <v>20.42</v>
      </c>
      <c r="N9" s="23">
        <f t="shared" si="1"/>
        <v>5.390880000000001</v>
      </c>
    </row>
    <row r="10" spans="1:14" ht="63.75">
      <c r="A10" s="25"/>
      <c r="B10" s="20" t="s">
        <v>113</v>
      </c>
      <c r="C10" s="21" t="s">
        <v>478</v>
      </c>
      <c r="D10" s="22" t="s">
        <v>33</v>
      </c>
      <c r="E10" s="20" t="s">
        <v>189</v>
      </c>
      <c r="F10" s="23">
        <f t="shared" si="0"/>
        <v>95.06244415000002</v>
      </c>
      <c r="G10" s="20" t="s">
        <v>108</v>
      </c>
      <c r="H10" s="22">
        <v>88264</v>
      </c>
      <c r="I10" s="20" t="s">
        <v>159</v>
      </c>
      <c r="J10" s="20" t="s">
        <v>135</v>
      </c>
      <c r="K10" s="20" t="s">
        <v>191</v>
      </c>
      <c r="L10" s="22">
        <v>0.264</v>
      </c>
      <c r="M10" s="22">
        <v>23.23</v>
      </c>
      <c r="N10" s="23">
        <f t="shared" si="1"/>
        <v>6.132720000000001</v>
      </c>
    </row>
    <row r="11" spans="1:14" ht="15">
      <c r="A11" s="25"/>
      <c r="B11" s="25"/>
      <c r="C11" s="28"/>
      <c r="D11" s="25"/>
      <c r="E11" s="25"/>
      <c r="F11" s="25"/>
      <c r="G11" s="24"/>
      <c r="H11" s="25"/>
      <c r="I11" s="24"/>
      <c r="J11" s="26"/>
      <c r="K11" s="25"/>
      <c r="L11" s="26"/>
      <c r="M11" s="26"/>
      <c r="N11" s="23">
        <f>SUM(N5:N10)</f>
        <v>95.06244415000002</v>
      </c>
    </row>
    <row r="12" spans="1:14" ht="15">
      <c r="A12" s="25"/>
      <c r="B12" s="25"/>
      <c r="C12" s="28"/>
      <c r="D12" s="25"/>
      <c r="E12" s="25"/>
      <c r="F12" s="25"/>
      <c r="G12" s="24"/>
      <c r="H12" s="25"/>
      <c r="I12" s="24"/>
      <c r="J12" s="26"/>
      <c r="K12" s="25"/>
      <c r="L12" s="26"/>
      <c r="M12" s="26"/>
      <c r="N12" s="23"/>
    </row>
    <row r="13" spans="1:14" ht="63.75">
      <c r="A13" s="25"/>
      <c r="B13" s="20" t="s">
        <v>199</v>
      </c>
      <c r="C13" s="21" t="s">
        <v>607</v>
      </c>
      <c r="D13" s="22" t="s">
        <v>44</v>
      </c>
      <c r="E13" s="20" t="s">
        <v>189</v>
      </c>
      <c r="F13" s="23">
        <f aca="true" t="shared" si="2" ref="F13:F20">N$21</f>
        <v>70.37755000000001</v>
      </c>
      <c r="G13" s="24"/>
      <c r="H13" s="25"/>
      <c r="I13" s="24"/>
      <c r="J13" s="26"/>
      <c r="K13" s="25"/>
      <c r="L13" s="26"/>
      <c r="M13" s="26"/>
      <c r="N13" s="27"/>
    </row>
    <row r="14" spans="1:14" ht="76.5">
      <c r="A14" s="25"/>
      <c r="B14" s="20" t="s">
        <v>199</v>
      </c>
      <c r="C14" s="21" t="s">
        <v>607</v>
      </c>
      <c r="D14" s="22" t="s">
        <v>44</v>
      </c>
      <c r="E14" s="20" t="s">
        <v>189</v>
      </c>
      <c r="F14" s="23">
        <f t="shared" si="2"/>
        <v>70.37755000000001</v>
      </c>
      <c r="G14" s="20" t="s">
        <v>137</v>
      </c>
      <c r="H14" s="22" t="s">
        <v>192</v>
      </c>
      <c r="I14" s="20" t="s">
        <v>608</v>
      </c>
      <c r="J14" s="20" t="s">
        <v>44</v>
      </c>
      <c r="K14" s="20" t="s">
        <v>192</v>
      </c>
      <c r="L14" s="22">
        <v>1</v>
      </c>
      <c r="M14" s="23">
        <v>14.63</v>
      </c>
      <c r="N14" s="23">
        <f aca="true" t="shared" si="3" ref="N14:N20">L14*M14</f>
        <v>14.63</v>
      </c>
    </row>
    <row r="15" spans="1:14" ht="63.75">
      <c r="A15" s="25"/>
      <c r="B15" s="20" t="s">
        <v>199</v>
      </c>
      <c r="C15" s="21" t="s">
        <v>607</v>
      </c>
      <c r="D15" s="22" t="s">
        <v>44</v>
      </c>
      <c r="E15" s="20" t="s">
        <v>189</v>
      </c>
      <c r="F15" s="23">
        <f t="shared" si="2"/>
        <v>70.37755000000001</v>
      </c>
      <c r="G15" s="20" t="s">
        <v>137</v>
      </c>
      <c r="H15" s="22" t="s">
        <v>192</v>
      </c>
      <c r="I15" s="20" t="s">
        <v>200</v>
      </c>
      <c r="J15" s="20" t="s">
        <v>44</v>
      </c>
      <c r="K15" s="20" t="s">
        <v>192</v>
      </c>
      <c r="L15" s="22">
        <v>4</v>
      </c>
      <c r="M15" s="23">
        <v>1.76</v>
      </c>
      <c r="N15" s="23">
        <f t="shared" si="3"/>
        <v>7.04</v>
      </c>
    </row>
    <row r="16" spans="1:14" ht="63.75">
      <c r="A16" s="25"/>
      <c r="B16" s="20" t="s">
        <v>199</v>
      </c>
      <c r="C16" s="21" t="s">
        <v>607</v>
      </c>
      <c r="D16" s="22" t="s">
        <v>44</v>
      </c>
      <c r="E16" s="20" t="s">
        <v>189</v>
      </c>
      <c r="F16" s="23">
        <f t="shared" si="2"/>
        <v>70.37755000000001</v>
      </c>
      <c r="G16" s="20" t="s">
        <v>137</v>
      </c>
      <c r="H16" s="22"/>
      <c r="I16" s="20" t="s">
        <v>201</v>
      </c>
      <c r="J16" s="20" t="s">
        <v>44</v>
      </c>
      <c r="K16" s="20" t="s">
        <v>192</v>
      </c>
      <c r="L16" s="22">
        <v>16.8</v>
      </c>
      <c r="M16" s="23">
        <v>0.53</v>
      </c>
      <c r="N16" s="23">
        <f t="shared" si="3"/>
        <v>8.904000000000002</v>
      </c>
    </row>
    <row r="17" spans="1:14" ht="63.75">
      <c r="A17" s="25"/>
      <c r="B17" s="20" t="s">
        <v>199</v>
      </c>
      <c r="C17" s="21" t="s">
        <v>607</v>
      </c>
      <c r="D17" s="22" t="s">
        <v>44</v>
      </c>
      <c r="E17" s="20" t="s">
        <v>189</v>
      </c>
      <c r="F17" s="23">
        <f t="shared" si="2"/>
        <v>70.37755000000001</v>
      </c>
      <c r="G17" s="20" t="s">
        <v>137</v>
      </c>
      <c r="H17" s="22"/>
      <c r="I17" s="20" t="s">
        <v>202</v>
      </c>
      <c r="J17" s="20" t="s">
        <v>44</v>
      </c>
      <c r="K17" s="20" t="s">
        <v>192</v>
      </c>
      <c r="L17" s="22">
        <v>16.8</v>
      </c>
      <c r="M17" s="23">
        <v>0.8</v>
      </c>
      <c r="N17" s="23">
        <f t="shared" si="3"/>
        <v>13.440000000000001</v>
      </c>
    </row>
    <row r="18" spans="1:14" ht="63.75">
      <c r="A18" s="25"/>
      <c r="B18" s="20" t="s">
        <v>199</v>
      </c>
      <c r="C18" s="21" t="s">
        <v>607</v>
      </c>
      <c r="D18" s="22" t="s">
        <v>44</v>
      </c>
      <c r="E18" s="20" t="s">
        <v>189</v>
      </c>
      <c r="F18" s="23">
        <f t="shared" si="2"/>
        <v>70.37755000000001</v>
      </c>
      <c r="G18" s="20" t="s">
        <v>137</v>
      </c>
      <c r="H18" s="22"/>
      <c r="I18" s="20" t="s">
        <v>203</v>
      </c>
      <c r="J18" s="20" t="s">
        <v>44</v>
      </c>
      <c r="K18" s="20" t="s">
        <v>192</v>
      </c>
      <c r="L18" s="22">
        <v>16.8</v>
      </c>
      <c r="M18" s="23">
        <v>0.2</v>
      </c>
      <c r="N18" s="23">
        <f t="shared" si="3"/>
        <v>3.3600000000000003</v>
      </c>
    </row>
    <row r="19" spans="1:14" ht="63.75">
      <c r="A19" s="25"/>
      <c r="B19" s="20" t="s">
        <v>199</v>
      </c>
      <c r="C19" s="21" t="s">
        <v>607</v>
      </c>
      <c r="D19" s="22" t="s">
        <v>44</v>
      </c>
      <c r="E19" s="20" t="s">
        <v>189</v>
      </c>
      <c r="F19" s="23">
        <f t="shared" si="2"/>
        <v>70.37755000000001</v>
      </c>
      <c r="G19" s="20" t="s">
        <v>108</v>
      </c>
      <c r="H19" s="22">
        <v>88247</v>
      </c>
      <c r="I19" s="20" t="s">
        <v>198</v>
      </c>
      <c r="J19" s="20" t="s">
        <v>135</v>
      </c>
      <c r="K19" s="20" t="s">
        <v>191</v>
      </c>
      <c r="L19" s="22">
        <v>0.527</v>
      </c>
      <c r="M19" s="22">
        <v>20.42</v>
      </c>
      <c r="N19" s="23">
        <f t="shared" si="3"/>
        <v>10.76134</v>
      </c>
    </row>
    <row r="20" spans="1:14" ht="63.75">
      <c r="A20" s="25"/>
      <c r="B20" s="20" t="s">
        <v>199</v>
      </c>
      <c r="C20" s="21" t="s">
        <v>607</v>
      </c>
      <c r="D20" s="22" t="s">
        <v>44</v>
      </c>
      <c r="E20" s="20" t="s">
        <v>189</v>
      </c>
      <c r="F20" s="23">
        <f t="shared" si="2"/>
        <v>70.37755000000001</v>
      </c>
      <c r="G20" s="20" t="s">
        <v>108</v>
      </c>
      <c r="H20" s="22">
        <v>88264</v>
      </c>
      <c r="I20" s="20" t="s">
        <v>159</v>
      </c>
      <c r="J20" s="20" t="s">
        <v>135</v>
      </c>
      <c r="K20" s="20" t="s">
        <v>191</v>
      </c>
      <c r="L20" s="22">
        <v>0.527</v>
      </c>
      <c r="M20" s="22">
        <v>23.23</v>
      </c>
      <c r="N20" s="23">
        <f t="shared" si="3"/>
        <v>12.24221</v>
      </c>
    </row>
    <row r="21" spans="1:14" ht="15">
      <c r="A21" s="25"/>
      <c r="B21" s="25"/>
      <c r="C21" s="28"/>
      <c r="D21" s="25"/>
      <c r="E21" s="25"/>
      <c r="F21" s="25"/>
      <c r="G21" s="24"/>
      <c r="H21" s="25"/>
      <c r="I21" s="24"/>
      <c r="J21" s="26"/>
      <c r="K21" s="25"/>
      <c r="L21" s="26"/>
      <c r="M21" s="26"/>
      <c r="N21" s="23">
        <f>SUM(N14:N20)</f>
        <v>70.37755000000001</v>
      </c>
    </row>
    <row r="22" spans="1:14" ht="15">
      <c r="A22"/>
      <c r="B22"/>
      <c r="C22"/>
      <c r="D22"/>
      <c r="E22"/>
      <c r="F22"/>
      <c r="G22"/>
      <c r="H22"/>
      <c r="I22"/>
      <c r="J22"/>
      <c r="K22"/>
      <c r="L22"/>
      <c r="M22"/>
      <c r="N22"/>
    </row>
    <row r="23" spans="1:14" ht="63.75">
      <c r="A23"/>
      <c r="B23" s="20" t="s">
        <v>114</v>
      </c>
      <c r="C23" s="21" t="s">
        <v>479</v>
      </c>
      <c r="D23" s="22" t="s">
        <v>33</v>
      </c>
      <c r="E23" s="20" t="s">
        <v>189</v>
      </c>
      <c r="F23" s="23">
        <f aca="true" t="shared" si="4" ref="F23:F29">N$30</f>
        <v>123.59172415000002</v>
      </c>
      <c r="G23" s="24"/>
      <c r="H23" s="25"/>
      <c r="I23" s="24"/>
      <c r="J23" s="26"/>
      <c r="K23" s="25"/>
      <c r="L23" s="26"/>
      <c r="M23" s="26"/>
      <c r="N23" s="27"/>
    </row>
    <row r="24" spans="1:14" ht="63.75">
      <c r="A24"/>
      <c r="B24" s="20" t="s">
        <v>114</v>
      </c>
      <c r="C24" s="21" t="s">
        <v>479</v>
      </c>
      <c r="D24" s="22" t="s">
        <v>33</v>
      </c>
      <c r="E24" s="20" t="s">
        <v>189</v>
      </c>
      <c r="F24" s="23">
        <f t="shared" si="4"/>
        <v>123.59172415000002</v>
      </c>
      <c r="G24" s="20" t="s">
        <v>137</v>
      </c>
      <c r="H24" s="22" t="s">
        <v>192</v>
      </c>
      <c r="I24" s="20" t="s">
        <v>609</v>
      </c>
      <c r="J24" s="20" t="s">
        <v>33</v>
      </c>
      <c r="K24" s="20" t="s">
        <v>192</v>
      </c>
      <c r="L24" s="22">
        <v>0.936</v>
      </c>
      <c r="M24" s="23">
        <v>67.15</v>
      </c>
      <c r="N24" s="23">
        <f aca="true" t="shared" si="5" ref="N24:N29">L24*M24</f>
        <v>62.85240000000001</v>
      </c>
    </row>
    <row r="25" spans="1:14" ht="89.25">
      <c r="A25"/>
      <c r="B25" s="20" t="s">
        <v>114</v>
      </c>
      <c r="C25" s="21" t="s">
        <v>479</v>
      </c>
      <c r="D25" s="22" t="s">
        <v>33</v>
      </c>
      <c r="E25" s="20" t="s">
        <v>189</v>
      </c>
      <c r="F25" s="23">
        <f t="shared" si="4"/>
        <v>123.59172415000002</v>
      </c>
      <c r="G25" s="20" t="s">
        <v>154</v>
      </c>
      <c r="H25" s="22" t="s">
        <v>194</v>
      </c>
      <c r="I25" s="20" t="s">
        <v>195</v>
      </c>
      <c r="J25" s="20" t="s">
        <v>44</v>
      </c>
      <c r="K25" s="20" t="s">
        <v>192</v>
      </c>
      <c r="L25" s="22">
        <v>0.333</v>
      </c>
      <c r="M25" s="23">
        <f>F32</f>
        <v>70.37755000000001</v>
      </c>
      <c r="N25" s="23">
        <f t="shared" si="5"/>
        <v>23.435724150000006</v>
      </c>
    </row>
    <row r="26" spans="1:14" ht="76.5">
      <c r="A26"/>
      <c r="B26" s="20" t="s">
        <v>114</v>
      </c>
      <c r="C26" s="21" t="s">
        <v>479</v>
      </c>
      <c r="D26" s="22" t="s">
        <v>33</v>
      </c>
      <c r="E26" s="20" t="s">
        <v>189</v>
      </c>
      <c r="F26" s="23">
        <f t="shared" si="4"/>
        <v>123.59172415000002</v>
      </c>
      <c r="G26" s="20" t="s">
        <v>137</v>
      </c>
      <c r="H26" s="22">
        <v>39029</v>
      </c>
      <c r="I26" s="20" t="s">
        <v>610</v>
      </c>
      <c r="J26" s="20" t="s">
        <v>33</v>
      </c>
      <c r="K26" s="20" t="s">
        <v>192</v>
      </c>
      <c r="L26" s="22">
        <v>1</v>
      </c>
      <c r="M26" s="23">
        <v>25.78</v>
      </c>
      <c r="N26" s="23">
        <f t="shared" si="5"/>
        <v>25.78</v>
      </c>
    </row>
    <row r="27" spans="1:14" ht="63.75">
      <c r="A27"/>
      <c r="B27" s="20" t="s">
        <v>114</v>
      </c>
      <c r="C27" s="21" t="s">
        <v>479</v>
      </c>
      <c r="D27" s="22" t="s">
        <v>33</v>
      </c>
      <c r="E27" s="20" t="s">
        <v>189</v>
      </c>
      <c r="F27" s="23">
        <f t="shared" si="4"/>
        <v>123.59172415000002</v>
      </c>
      <c r="G27" s="20" t="s">
        <v>137</v>
      </c>
      <c r="H27" s="22"/>
      <c r="I27" s="20" t="s">
        <v>197</v>
      </c>
      <c r="J27" s="20" t="s">
        <v>33</v>
      </c>
      <c r="K27" s="20" t="s">
        <v>192</v>
      </c>
      <c r="L27" s="22">
        <v>0</v>
      </c>
      <c r="M27" s="23">
        <v>0</v>
      </c>
      <c r="N27" s="23">
        <f t="shared" si="5"/>
        <v>0</v>
      </c>
    </row>
    <row r="28" spans="1:14" ht="63.75">
      <c r="A28"/>
      <c r="B28" s="20" t="s">
        <v>114</v>
      </c>
      <c r="C28" s="21" t="s">
        <v>479</v>
      </c>
      <c r="D28" s="22" t="s">
        <v>33</v>
      </c>
      <c r="E28" s="20" t="s">
        <v>189</v>
      </c>
      <c r="F28" s="23">
        <f t="shared" si="4"/>
        <v>123.59172415000002</v>
      </c>
      <c r="G28" s="20" t="s">
        <v>108</v>
      </c>
      <c r="H28" s="22">
        <v>88247</v>
      </c>
      <c r="I28" s="20" t="s">
        <v>198</v>
      </c>
      <c r="J28" s="20" t="s">
        <v>135</v>
      </c>
      <c r="K28" s="20" t="s">
        <v>191</v>
      </c>
      <c r="L28" s="22">
        <v>0.264</v>
      </c>
      <c r="M28" s="22">
        <v>20.42</v>
      </c>
      <c r="N28" s="23">
        <f t="shared" si="5"/>
        <v>5.390880000000001</v>
      </c>
    </row>
    <row r="29" spans="1:14" ht="63.75">
      <c r="A29"/>
      <c r="B29" s="20" t="s">
        <v>114</v>
      </c>
      <c r="C29" s="21" t="s">
        <v>479</v>
      </c>
      <c r="D29" s="22" t="s">
        <v>33</v>
      </c>
      <c r="E29" s="20" t="s">
        <v>189</v>
      </c>
      <c r="F29" s="23">
        <f t="shared" si="4"/>
        <v>123.59172415000002</v>
      </c>
      <c r="G29" s="20" t="s">
        <v>108</v>
      </c>
      <c r="H29" s="22">
        <v>88264</v>
      </c>
      <c r="I29" s="20" t="s">
        <v>159</v>
      </c>
      <c r="J29" s="20" t="s">
        <v>135</v>
      </c>
      <c r="K29" s="20" t="s">
        <v>191</v>
      </c>
      <c r="L29" s="22">
        <v>0.264</v>
      </c>
      <c r="M29" s="22">
        <v>23.23</v>
      </c>
      <c r="N29" s="23">
        <f t="shared" si="5"/>
        <v>6.132720000000001</v>
      </c>
    </row>
    <row r="30" spans="1:14" ht="15">
      <c r="A30"/>
      <c r="B30" s="25"/>
      <c r="C30" s="28"/>
      <c r="D30" s="25"/>
      <c r="E30" s="25"/>
      <c r="F30" s="25"/>
      <c r="G30" s="24"/>
      <c r="H30" s="25"/>
      <c r="I30" s="24"/>
      <c r="J30" s="26"/>
      <c r="K30" s="25"/>
      <c r="L30" s="26"/>
      <c r="M30" s="26"/>
      <c r="N30" s="23">
        <f>SUM(N24:N29)</f>
        <v>123.59172415000002</v>
      </c>
    </row>
    <row r="31" spans="1:14" ht="15">
      <c r="A31"/>
      <c r="B31" s="25"/>
      <c r="C31" s="28"/>
      <c r="D31" s="25"/>
      <c r="E31" s="25"/>
      <c r="F31" s="25"/>
      <c r="G31" s="24"/>
      <c r="H31" s="25"/>
      <c r="I31" s="24"/>
      <c r="J31" s="26"/>
      <c r="K31" s="25"/>
      <c r="L31" s="26"/>
      <c r="M31" s="26"/>
      <c r="N31" s="23"/>
    </row>
    <row r="32" spans="1:14" ht="63.75">
      <c r="A32"/>
      <c r="B32" s="20" t="s">
        <v>199</v>
      </c>
      <c r="C32" s="21" t="s">
        <v>611</v>
      </c>
      <c r="D32" s="22" t="s">
        <v>44</v>
      </c>
      <c r="E32" s="20" t="s">
        <v>189</v>
      </c>
      <c r="F32" s="23">
        <f aca="true" t="shared" si="6" ref="F32:F39">N$40</f>
        <v>70.37755000000001</v>
      </c>
      <c r="G32" s="24"/>
      <c r="H32" s="25"/>
      <c r="I32" s="24"/>
      <c r="J32" s="26"/>
      <c r="K32" s="25"/>
      <c r="L32" s="26"/>
      <c r="M32" s="26"/>
      <c r="N32" s="27"/>
    </row>
    <row r="33" spans="1:14" ht="76.5">
      <c r="A33"/>
      <c r="B33" s="20" t="s">
        <v>199</v>
      </c>
      <c r="C33" s="21" t="s">
        <v>611</v>
      </c>
      <c r="D33" s="22" t="s">
        <v>44</v>
      </c>
      <c r="E33" s="20" t="s">
        <v>189</v>
      </c>
      <c r="F33" s="23">
        <f t="shared" si="6"/>
        <v>70.37755000000001</v>
      </c>
      <c r="G33" s="20" t="s">
        <v>137</v>
      </c>
      <c r="H33" s="22" t="s">
        <v>192</v>
      </c>
      <c r="I33" s="21" t="s">
        <v>611</v>
      </c>
      <c r="J33" s="20" t="s">
        <v>44</v>
      </c>
      <c r="K33" s="20" t="s">
        <v>192</v>
      </c>
      <c r="L33" s="22">
        <v>1</v>
      </c>
      <c r="M33" s="23">
        <v>14.63</v>
      </c>
      <c r="N33" s="23">
        <f aca="true" t="shared" si="7" ref="N33:N39">L33*M33</f>
        <v>14.63</v>
      </c>
    </row>
    <row r="34" spans="1:14" ht="63.75">
      <c r="A34"/>
      <c r="B34" s="20" t="s">
        <v>199</v>
      </c>
      <c r="C34" s="21" t="s">
        <v>611</v>
      </c>
      <c r="D34" s="22" t="s">
        <v>44</v>
      </c>
      <c r="E34" s="20" t="s">
        <v>189</v>
      </c>
      <c r="F34" s="23">
        <f t="shared" si="6"/>
        <v>70.37755000000001</v>
      </c>
      <c r="G34" s="20" t="s">
        <v>137</v>
      </c>
      <c r="H34" s="22" t="s">
        <v>192</v>
      </c>
      <c r="I34" s="20" t="s">
        <v>612</v>
      </c>
      <c r="J34" s="20" t="s">
        <v>44</v>
      </c>
      <c r="K34" s="20" t="s">
        <v>192</v>
      </c>
      <c r="L34" s="22">
        <v>4</v>
      </c>
      <c r="M34" s="23">
        <v>1.76</v>
      </c>
      <c r="N34" s="23">
        <f t="shared" si="7"/>
        <v>7.04</v>
      </c>
    </row>
    <row r="35" spans="1:14" ht="63.75">
      <c r="A35"/>
      <c r="B35" s="20" t="s">
        <v>199</v>
      </c>
      <c r="C35" s="21" t="s">
        <v>611</v>
      </c>
      <c r="D35" s="22" t="s">
        <v>44</v>
      </c>
      <c r="E35" s="20" t="s">
        <v>189</v>
      </c>
      <c r="F35" s="23">
        <f t="shared" si="6"/>
        <v>70.37755000000001</v>
      </c>
      <c r="G35" s="20" t="s">
        <v>137</v>
      </c>
      <c r="H35" s="22"/>
      <c r="I35" s="20" t="s">
        <v>201</v>
      </c>
      <c r="J35" s="20" t="s">
        <v>44</v>
      </c>
      <c r="K35" s="20" t="s">
        <v>192</v>
      </c>
      <c r="L35" s="22">
        <v>16.8</v>
      </c>
      <c r="M35" s="23">
        <v>0.53</v>
      </c>
      <c r="N35" s="23">
        <f t="shared" si="7"/>
        <v>8.904000000000002</v>
      </c>
    </row>
    <row r="36" spans="1:14" ht="63.75">
      <c r="A36"/>
      <c r="B36" s="20" t="s">
        <v>199</v>
      </c>
      <c r="C36" s="21" t="s">
        <v>611</v>
      </c>
      <c r="D36" s="22" t="s">
        <v>44</v>
      </c>
      <c r="E36" s="20" t="s">
        <v>189</v>
      </c>
      <c r="F36" s="23">
        <f t="shared" si="6"/>
        <v>70.37755000000001</v>
      </c>
      <c r="G36" s="20" t="s">
        <v>137</v>
      </c>
      <c r="H36" s="22"/>
      <c r="I36" s="20" t="s">
        <v>202</v>
      </c>
      <c r="J36" s="20" t="s">
        <v>44</v>
      </c>
      <c r="K36" s="20" t="s">
        <v>192</v>
      </c>
      <c r="L36" s="22">
        <v>16.8</v>
      </c>
      <c r="M36" s="23">
        <v>0.8</v>
      </c>
      <c r="N36" s="23">
        <f t="shared" si="7"/>
        <v>13.440000000000001</v>
      </c>
    </row>
    <row r="37" spans="1:14" ht="63.75">
      <c r="A37"/>
      <c r="B37" s="20" t="s">
        <v>199</v>
      </c>
      <c r="C37" s="21" t="s">
        <v>611</v>
      </c>
      <c r="D37" s="22" t="s">
        <v>44</v>
      </c>
      <c r="E37" s="20" t="s">
        <v>189</v>
      </c>
      <c r="F37" s="23">
        <f t="shared" si="6"/>
        <v>70.37755000000001</v>
      </c>
      <c r="G37" s="20" t="s">
        <v>137</v>
      </c>
      <c r="H37" s="22"/>
      <c r="I37" s="20" t="s">
        <v>203</v>
      </c>
      <c r="J37" s="20" t="s">
        <v>44</v>
      </c>
      <c r="K37" s="20" t="s">
        <v>192</v>
      </c>
      <c r="L37" s="22">
        <v>16.8</v>
      </c>
      <c r="M37" s="23">
        <v>0.2</v>
      </c>
      <c r="N37" s="23">
        <f t="shared" si="7"/>
        <v>3.3600000000000003</v>
      </c>
    </row>
    <row r="38" spans="1:14" ht="63.75">
      <c r="A38"/>
      <c r="B38" s="20" t="s">
        <v>199</v>
      </c>
      <c r="C38" s="21" t="s">
        <v>611</v>
      </c>
      <c r="D38" s="22" t="s">
        <v>44</v>
      </c>
      <c r="E38" s="20" t="s">
        <v>189</v>
      </c>
      <c r="F38" s="23">
        <f t="shared" si="6"/>
        <v>70.37755000000001</v>
      </c>
      <c r="G38" s="20" t="s">
        <v>108</v>
      </c>
      <c r="H38" s="22">
        <v>88247</v>
      </c>
      <c r="I38" s="20" t="s">
        <v>198</v>
      </c>
      <c r="J38" s="20" t="s">
        <v>135</v>
      </c>
      <c r="K38" s="20" t="s">
        <v>191</v>
      </c>
      <c r="L38" s="22">
        <v>0.527</v>
      </c>
      <c r="M38" s="22">
        <v>20.42</v>
      </c>
      <c r="N38" s="23">
        <f t="shared" si="7"/>
        <v>10.76134</v>
      </c>
    </row>
    <row r="39" spans="1:14" ht="63.75">
      <c r="A39"/>
      <c r="B39" s="20" t="s">
        <v>199</v>
      </c>
      <c r="C39" s="21" t="s">
        <v>611</v>
      </c>
      <c r="D39" s="22" t="s">
        <v>44</v>
      </c>
      <c r="E39" s="20" t="s">
        <v>189</v>
      </c>
      <c r="F39" s="23">
        <f t="shared" si="6"/>
        <v>70.37755000000001</v>
      </c>
      <c r="G39" s="20" t="s">
        <v>108</v>
      </c>
      <c r="H39" s="22">
        <v>88264</v>
      </c>
      <c r="I39" s="20" t="s">
        <v>159</v>
      </c>
      <c r="J39" s="20" t="s">
        <v>135</v>
      </c>
      <c r="K39" s="20" t="s">
        <v>191</v>
      </c>
      <c r="L39" s="22">
        <v>0.527</v>
      </c>
      <c r="M39" s="22">
        <v>23.23</v>
      </c>
      <c r="N39" s="23">
        <f t="shared" si="7"/>
        <v>12.24221</v>
      </c>
    </row>
    <row r="40" spans="1:14" ht="15">
      <c r="A40"/>
      <c r="B40" s="25"/>
      <c r="C40" s="28"/>
      <c r="D40" s="25"/>
      <c r="E40" s="25"/>
      <c r="F40" s="25"/>
      <c r="G40" s="24"/>
      <c r="H40" s="25"/>
      <c r="I40" s="24"/>
      <c r="J40" s="26"/>
      <c r="K40" s="25"/>
      <c r="L40" s="26"/>
      <c r="M40" s="26"/>
      <c r="N40" s="23">
        <f>SUM(N33:N39)</f>
        <v>70.37755000000001</v>
      </c>
    </row>
    <row r="41" spans="1:14" ht="15">
      <c r="A41"/>
      <c r="B41"/>
      <c r="C41"/>
      <c r="D41"/>
      <c r="E41"/>
      <c r="F41"/>
      <c r="G41"/>
      <c r="H41"/>
      <c r="I41"/>
      <c r="J41"/>
      <c r="K41"/>
      <c r="L41"/>
      <c r="M41"/>
      <c r="N41"/>
    </row>
    <row r="42" spans="1:14" ht="63.75">
      <c r="A42" s="25"/>
      <c r="B42" s="20" t="s">
        <v>115</v>
      </c>
      <c r="C42" s="29" t="s">
        <v>116</v>
      </c>
      <c r="D42" s="22" t="s">
        <v>44</v>
      </c>
      <c r="E42" s="20" t="s">
        <v>189</v>
      </c>
      <c r="F42" s="23">
        <f aca="true" t="shared" si="8" ref="F42:F48">N$49</f>
        <v>14.351499999999998</v>
      </c>
      <c r="G42" s="24"/>
      <c r="H42" s="25"/>
      <c r="I42" s="24"/>
      <c r="J42" s="26"/>
      <c r="K42" s="25"/>
      <c r="L42" s="26"/>
      <c r="M42" s="26"/>
      <c r="N42" s="27"/>
    </row>
    <row r="43" spans="1:14" ht="63.75">
      <c r="A43" s="25"/>
      <c r="B43" s="20" t="s">
        <v>115</v>
      </c>
      <c r="C43" s="29" t="s">
        <v>116</v>
      </c>
      <c r="D43" s="22" t="s">
        <v>44</v>
      </c>
      <c r="E43" s="20" t="s">
        <v>189</v>
      </c>
      <c r="F43" s="23">
        <f t="shared" si="8"/>
        <v>14.351499999999998</v>
      </c>
      <c r="G43" s="20" t="s">
        <v>137</v>
      </c>
      <c r="H43" s="22" t="s">
        <v>192</v>
      </c>
      <c r="I43" s="29" t="s">
        <v>116</v>
      </c>
      <c r="J43" s="20" t="s">
        <v>44</v>
      </c>
      <c r="K43" s="20" t="s">
        <v>192</v>
      </c>
      <c r="L43" s="22">
        <v>1</v>
      </c>
      <c r="M43" s="23">
        <v>4.89</v>
      </c>
      <c r="N43" s="23">
        <f aca="true" t="shared" si="9" ref="N43:N48">L43*M43</f>
        <v>4.89</v>
      </c>
    </row>
    <row r="44" spans="1:14" ht="63.75">
      <c r="A44" s="25"/>
      <c r="B44" s="20" t="s">
        <v>115</v>
      </c>
      <c r="C44" s="29" t="s">
        <v>116</v>
      </c>
      <c r="D44" s="22" t="s">
        <v>44</v>
      </c>
      <c r="E44" s="20" t="s">
        <v>189</v>
      </c>
      <c r="F44" s="23">
        <f t="shared" si="8"/>
        <v>14.351499999999998</v>
      </c>
      <c r="G44" s="20" t="s">
        <v>137</v>
      </c>
      <c r="H44" s="22"/>
      <c r="I44" s="20" t="s">
        <v>201</v>
      </c>
      <c r="J44" s="20" t="s">
        <v>44</v>
      </c>
      <c r="K44" s="20" t="s">
        <v>192</v>
      </c>
      <c r="L44" s="22">
        <v>2</v>
      </c>
      <c r="M44" s="23">
        <v>0.53</v>
      </c>
      <c r="N44" s="23">
        <f t="shared" si="9"/>
        <v>1.06</v>
      </c>
    </row>
    <row r="45" spans="1:14" ht="63.75">
      <c r="A45" s="25"/>
      <c r="B45" s="20" t="s">
        <v>115</v>
      </c>
      <c r="C45" s="29" t="s">
        <v>116</v>
      </c>
      <c r="D45" s="22" t="s">
        <v>44</v>
      </c>
      <c r="E45" s="20" t="s">
        <v>189</v>
      </c>
      <c r="F45" s="23">
        <f t="shared" si="8"/>
        <v>14.351499999999998</v>
      </c>
      <c r="G45" s="20" t="s">
        <v>137</v>
      </c>
      <c r="H45" s="22"/>
      <c r="I45" s="20" t="s">
        <v>202</v>
      </c>
      <c r="J45" s="20" t="s">
        <v>44</v>
      </c>
      <c r="K45" s="20" t="s">
        <v>192</v>
      </c>
      <c r="L45" s="22">
        <v>4</v>
      </c>
      <c r="M45" s="23">
        <v>0.8</v>
      </c>
      <c r="N45" s="23">
        <f t="shared" si="9"/>
        <v>3.2</v>
      </c>
    </row>
    <row r="46" spans="1:14" ht="63.75">
      <c r="A46" s="25"/>
      <c r="B46" s="20" t="s">
        <v>115</v>
      </c>
      <c r="C46" s="29" t="s">
        <v>116</v>
      </c>
      <c r="D46" s="22" t="s">
        <v>44</v>
      </c>
      <c r="E46" s="20" t="s">
        <v>189</v>
      </c>
      <c r="F46" s="23">
        <f t="shared" si="8"/>
        <v>14.351499999999998</v>
      </c>
      <c r="G46" s="20" t="s">
        <v>137</v>
      </c>
      <c r="H46" s="22"/>
      <c r="I46" s="20" t="s">
        <v>203</v>
      </c>
      <c r="J46" s="20" t="s">
        <v>44</v>
      </c>
      <c r="K46" s="20" t="s">
        <v>192</v>
      </c>
      <c r="L46" s="22">
        <v>2</v>
      </c>
      <c r="M46" s="23">
        <v>0.2</v>
      </c>
      <c r="N46" s="23">
        <f t="shared" si="9"/>
        <v>0.4</v>
      </c>
    </row>
    <row r="47" spans="1:14" ht="63.75">
      <c r="A47" s="25"/>
      <c r="B47" s="20" t="s">
        <v>115</v>
      </c>
      <c r="C47" s="29" t="s">
        <v>116</v>
      </c>
      <c r="D47" s="22" t="s">
        <v>44</v>
      </c>
      <c r="E47" s="20" t="s">
        <v>189</v>
      </c>
      <c r="F47" s="23">
        <f t="shared" si="8"/>
        <v>14.351499999999998</v>
      </c>
      <c r="G47" s="20" t="s">
        <v>108</v>
      </c>
      <c r="H47" s="22">
        <v>88247</v>
      </c>
      <c r="I47" s="20" t="s">
        <v>198</v>
      </c>
      <c r="J47" s="20" t="s">
        <v>135</v>
      </c>
      <c r="K47" s="20" t="s">
        <v>191</v>
      </c>
      <c r="L47" s="22">
        <v>0.11</v>
      </c>
      <c r="M47" s="22">
        <v>20.42</v>
      </c>
      <c r="N47" s="23">
        <f t="shared" si="9"/>
        <v>2.2462000000000004</v>
      </c>
    </row>
    <row r="48" spans="1:14" ht="63.75">
      <c r="A48" s="25"/>
      <c r="B48" s="20" t="s">
        <v>115</v>
      </c>
      <c r="C48" s="29" t="s">
        <v>116</v>
      </c>
      <c r="D48" s="22" t="s">
        <v>44</v>
      </c>
      <c r="E48" s="20" t="s">
        <v>189</v>
      </c>
      <c r="F48" s="23">
        <f t="shared" si="8"/>
        <v>14.351499999999998</v>
      </c>
      <c r="G48" s="20" t="s">
        <v>108</v>
      </c>
      <c r="H48" s="22">
        <v>88264</v>
      </c>
      <c r="I48" s="20" t="s">
        <v>159</v>
      </c>
      <c r="J48" s="20" t="s">
        <v>135</v>
      </c>
      <c r="K48" s="20" t="s">
        <v>191</v>
      </c>
      <c r="L48" s="22">
        <v>0.11</v>
      </c>
      <c r="M48" s="22">
        <v>23.23</v>
      </c>
      <c r="N48" s="23">
        <f t="shared" si="9"/>
        <v>2.5553</v>
      </c>
    </row>
    <row r="49" spans="1:14" ht="15">
      <c r="A49" s="25"/>
      <c r="B49" s="25"/>
      <c r="C49" s="28"/>
      <c r="D49" s="25"/>
      <c r="E49" s="25"/>
      <c r="F49" s="25"/>
      <c r="G49" s="24"/>
      <c r="H49" s="25"/>
      <c r="I49" s="24"/>
      <c r="J49" s="26"/>
      <c r="K49" s="25"/>
      <c r="L49" s="26"/>
      <c r="M49" s="26"/>
      <c r="N49" s="23">
        <f>SUM(N43:N48)</f>
        <v>14.351499999999998</v>
      </c>
    </row>
    <row r="50" spans="1:14" ht="15">
      <c r="A50"/>
      <c r="B50"/>
      <c r="C50"/>
      <c r="D50"/>
      <c r="E50"/>
      <c r="F50"/>
      <c r="G50"/>
      <c r="H50"/>
      <c r="I50"/>
      <c r="J50"/>
      <c r="K50"/>
      <c r="L50"/>
      <c r="M50"/>
      <c r="N50"/>
    </row>
    <row r="51" spans="1:14" ht="63.75">
      <c r="A51"/>
      <c r="B51" s="20" t="s">
        <v>117</v>
      </c>
      <c r="C51" s="29" t="s">
        <v>486</v>
      </c>
      <c r="D51" s="22" t="s">
        <v>44</v>
      </c>
      <c r="E51" s="20" t="s">
        <v>189</v>
      </c>
      <c r="F51" s="23">
        <f aca="true" t="shared" si="10" ref="F51:F57">N$49</f>
        <v>14.351499999999998</v>
      </c>
      <c r="G51" s="24"/>
      <c r="H51" s="25"/>
      <c r="I51" s="24"/>
      <c r="J51" s="26"/>
      <c r="K51" s="25"/>
      <c r="L51" s="26"/>
      <c r="M51" s="26"/>
      <c r="N51" s="27"/>
    </row>
    <row r="52" spans="1:14" ht="63.75">
      <c r="A52"/>
      <c r="B52" s="20" t="s">
        <v>117</v>
      </c>
      <c r="C52" s="29" t="s">
        <v>486</v>
      </c>
      <c r="D52" s="22" t="s">
        <v>44</v>
      </c>
      <c r="E52" s="20" t="s">
        <v>189</v>
      </c>
      <c r="F52" s="23">
        <f t="shared" si="10"/>
        <v>14.351499999999998</v>
      </c>
      <c r="G52" s="20" t="s">
        <v>137</v>
      </c>
      <c r="H52" s="22" t="s">
        <v>192</v>
      </c>
      <c r="I52" s="29" t="s">
        <v>613</v>
      </c>
      <c r="J52" s="20" t="s">
        <v>44</v>
      </c>
      <c r="K52" s="20" t="s">
        <v>192</v>
      </c>
      <c r="L52" s="22">
        <v>1</v>
      </c>
      <c r="M52" s="23">
        <v>4.64</v>
      </c>
      <c r="N52" s="23">
        <f aca="true" t="shared" si="11" ref="N52:N57">L52*M52</f>
        <v>4.64</v>
      </c>
    </row>
    <row r="53" spans="1:14" ht="63.75">
      <c r="A53"/>
      <c r="B53" s="20" t="s">
        <v>117</v>
      </c>
      <c r="C53" s="29" t="s">
        <v>486</v>
      </c>
      <c r="D53" s="22" t="s">
        <v>44</v>
      </c>
      <c r="E53" s="20" t="s">
        <v>189</v>
      </c>
      <c r="F53" s="23">
        <f t="shared" si="10"/>
        <v>14.351499999999998</v>
      </c>
      <c r="G53" s="20" t="s">
        <v>137</v>
      </c>
      <c r="H53" s="22"/>
      <c r="I53" s="20" t="s">
        <v>201</v>
      </c>
      <c r="J53" s="20" t="s">
        <v>44</v>
      </c>
      <c r="K53" s="20" t="s">
        <v>192</v>
      </c>
      <c r="L53" s="22">
        <v>2</v>
      </c>
      <c r="M53" s="23">
        <v>0.53</v>
      </c>
      <c r="N53" s="23">
        <f t="shared" si="11"/>
        <v>1.06</v>
      </c>
    </row>
    <row r="54" spans="1:14" ht="63.75">
      <c r="A54"/>
      <c r="B54" s="20" t="s">
        <v>117</v>
      </c>
      <c r="C54" s="29" t="s">
        <v>486</v>
      </c>
      <c r="D54" s="22" t="s">
        <v>44</v>
      </c>
      <c r="E54" s="20" t="s">
        <v>189</v>
      </c>
      <c r="F54" s="23">
        <f t="shared" si="10"/>
        <v>14.351499999999998</v>
      </c>
      <c r="G54" s="20" t="s">
        <v>137</v>
      </c>
      <c r="H54" s="22"/>
      <c r="I54" s="20" t="s">
        <v>202</v>
      </c>
      <c r="J54" s="20" t="s">
        <v>44</v>
      </c>
      <c r="K54" s="20" t="s">
        <v>192</v>
      </c>
      <c r="L54" s="22">
        <v>4</v>
      </c>
      <c r="M54" s="23">
        <v>0.8</v>
      </c>
      <c r="N54" s="23">
        <f t="shared" si="11"/>
        <v>3.2</v>
      </c>
    </row>
    <row r="55" spans="1:14" ht="63.75">
      <c r="A55"/>
      <c r="B55" s="20" t="s">
        <v>117</v>
      </c>
      <c r="C55" s="29" t="s">
        <v>486</v>
      </c>
      <c r="D55" s="22" t="s">
        <v>44</v>
      </c>
      <c r="E55" s="20" t="s">
        <v>189</v>
      </c>
      <c r="F55" s="23">
        <f t="shared" si="10"/>
        <v>14.351499999999998</v>
      </c>
      <c r="G55" s="20" t="s">
        <v>137</v>
      </c>
      <c r="H55" s="22"/>
      <c r="I55" s="20" t="s">
        <v>203</v>
      </c>
      <c r="J55" s="20" t="s">
        <v>44</v>
      </c>
      <c r="K55" s="20" t="s">
        <v>192</v>
      </c>
      <c r="L55" s="22">
        <v>2</v>
      </c>
      <c r="M55" s="23">
        <v>0.2</v>
      </c>
      <c r="N55" s="23">
        <f t="shared" si="11"/>
        <v>0.4</v>
      </c>
    </row>
    <row r="56" spans="1:14" ht="63.75">
      <c r="A56"/>
      <c r="B56" s="20" t="s">
        <v>117</v>
      </c>
      <c r="C56" s="29" t="s">
        <v>486</v>
      </c>
      <c r="D56" s="22" t="s">
        <v>44</v>
      </c>
      <c r="E56" s="20" t="s">
        <v>189</v>
      </c>
      <c r="F56" s="23">
        <f t="shared" si="10"/>
        <v>14.351499999999998</v>
      </c>
      <c r="G56" s="20" t="s">
        <v>108</v>
      </c>
      <c r="H56" s="22">
        <v>88247</v>
      </c>
      <c r="I56" s="20" t="s">
        <v>198</v>
      </c>
      <c r="J56" s="20" t="s">
        <v>135</v>
      </c>
      <c r="K56" s="20" t="s">
        <v>191</v>
      </c>
      <c r="L56" s="22">
        <v>0.11</v>
      </c>
      <c r="M56" s="22">
        <v>20.42</v>
      </c>
      <c r="N56" s="23">
        <f t="shared" si="11"/>
        <v>2.2462000000000004</v>
      </c>
    </row>
    <row r="57" spans="1:14" ht="63.75">
      <c r="A57"/>
      <c r="B57" s="20" t="s">
        <v>117</v>
      </c>
      <c r="C57" s="29" t="s">
        <v>486</v>
      </c>
      <c r="D57" s="22" t="s">
        <v>44</v>
      </c>
      <c r="E57" s="20" t="s">
        <v>189</v>
      </c>
      <c r="F57" s="23">
        <f t="shared" si="10"/>
        <v>14.351499999999998</v>
      </c>
      <c r="G57" s="20" t="s">
        <v>108</v>
      </c>
      <c r="H57" s="22">
        <v>88264</v>
      </c>
      <c r="I57" s="20" t="s">
        <v>159</v>
      </c>
      <c r="J57" s="20" t="s">
        <v>135</v>
      </c>
      <c r="K57" s="20" t="s">
        <v>191</v>
      </c>
      <c r="L57" s="22">
        <v>0.11</v>
      </c>
      <c r="M57" s="22">
        <v>23.23</v>
      </c>
      <c r="N57" s="23">
        <f t="shared" si="11"/>
        <v>2.5553</v>
      </c>
    </row>
    <row r="58" spans="1:14" ht="15">
      <c r="A58"/>
      <c r="B58" s="25"/>
      <c r="C58" s="28"/>
      <c r="D58" s="25"/>
      <c r="E58" s="25"/>
      <c r="F58" s="25"/>
      <c r="G58" s="24"/>
      <c r="H58" s="25"/>
      <c r="I58" s="24"/>
      <c r="J58" s="26"/>
      <c r="K58" s="25"/>
      <c r="L58" s="26"/>
      <c r="M58" s="26"/>
      <c r="N58" s="23">
        <f>SUM(N52:N57)</f>
        <v>14.101499999999998</v>
      </c>
    </row>
    <row r="59" spans="1:14" ht="15">
      <c r="A59"/>
      <c r="B59"/>
      <c r="C59"/>
      <c r="D59"/>
      <c r="E59"/>
      <c r="F59"/>
      <c r="G59"/>
      <c r="H59"/>
      <c r="I59"/>
      <c r="J59"/>
      <c r="K59"/>
      <c r="L59"/>
      <c r="M59"/>
      <c r="N59"/>
    </row>
    <row r="60" spans="1:14" ht="63.75">
      <c r="A60"/>
      <c r="B60" s="20" t="s">
        <v>118</v>
      </c>
      <c r="C60" s="29" t="s">
        <v>126</v>
      </c>
      <c r="D60" s="22" t="s">
        <v>44</v>
      </c>
      <c r="E60" s="20" t="s">
        <v>189</v>
      </c>
      <c r="F60" s="23">
        <f aca="true" t="shared" si="12" ref="F60:F67">N$68</f>
        <v>108.64755</v>
      </c>
      <c r="G60" s="24"/>
      <c r="H60" s="25"/>
      <c r="I60" s="24"/>
      <c r="J60" s="26"/>
      <c r="K60" s="25"/>
      <c r="L60" s="26"/>
      <c r="M60" s="26"/>
      <c r="N60" s="27"/>
    </row>
    <row r="61" spans="1:14" ht="63.75">
      <c r="A61"/>
      <c r="B61" s="20" t="s">
        <v>118</v>
      </c>
      <c r="C61" s="29" t="s">
        <v>126</v>
      </c>
      <c r="D61" s="22" t="s">
        <v>44</v>
      </c>
      <c r="E61" s="20" t="s">
        <v>189</v>
      </c>
      <c r="F61" s="23">
        <f t="shared" si="12"/>
        <v>108.64755</v>
      </c>
      <c r="G61" s="20" t="s">
        <v>137</v>
      </c>
      <c r="H61" s="22" t="s">
        <v>192</v>
      </c>
      <c r="I61" s="29" t="s">
        <v>207</v>
      </c>
      <c r="J61" s="20" t="s">
        <v>44</v>
      </c>
      <c r="K61" s="20" t="s">
        <v>192</v>
      </c>
      <c r="L61" s="22">
        <v>1</v>
      </c>
      <c r="M61" s="23">
        <v>52.9</v>
      </c>
      <c r="N61" s="23">
        <f aca="true" t="shared" si="13" ref="N61:N67">L61*M61</f>
        <v>52.9</v>
      </c>
    </row>
    <row r="62" spans="1:14" ht="63.75">
      <c r="A62"/>
      <c r="B62" s="20" t="s">
        <v>118</v>
      </c>
      <c r="C62" s="29" t="s">
        <v>126</v>
      </c>
      <c r="D62" s="22" t="s">
        <v>44</v>
      </c>
      <c r="E62" s="20" t="s">
        <v>189</v>
      </c>
      <c r="F62" s="23">
        <f t="shared" si="12"/>
        <v>108.64755</v>
      </c>
      <c r="G62" s="20" t="s">
        <v>137</v>
      </c>
      <c r="H62" s="22" t="s">
        <v>192</v>
      </c>
      <c r="I62" s="20" t="s">
        <v>200</v>
      </c>
      <c r="J62" s="20" t="s">
        <v>44</v>
      </c>
      <c r="K62" s="20" t="s">
        <v>192</v>
      </c>
      <c r="L62" s="22">
        <v>4</v>
      </c>
      <c r="M62" s="23">
        <v>1.76</v>
      </c>
      <c r="N62" s="23">
        <f t="shared" si="13"/>
        <v>7.04</v>
      </c>
    </row>
    <row r="63" spans="1:14" ht="63.75">
      <c r="A63"/>
      <c r="B63" s="20" t="s">
        <v>118</v>
      </c>
      <c r="C63" s="29" t="s">
        <v>126</v>
      </c>
      <c r="D63" s="22" t="s">
        <v>44</v>
      </c>
      <c r="E63" s="20" t="s">
        <v>189</v>
      </c>
      <c r="F63" s="23">
        <f t="shared" si="12"/>
        <v>108.64755</v>
      </c>
      <c r="G63" s="20" t="s">
        <v>137</v>
      </c>
      <c r="H63" s="22"/>
      <c r="I63" s="20" t="s">
        <v>201</v>
      </c>
      <c r="J63" s="20" t="s">
        <v>44</v>
      </c>
      <c r="K63" s="20" t="s">
        <v>192</v>
      </c>
      <c r="L63" s="22">
        <v>16.8</v>
      </c>
      <c r="M63" s="23">
        <v>0.53</v>
      </c>
      <c r="N63" s="23">
        <f t="shared" si="13"/>
        <v>8.904000000000002</v>
      </c>
    </row>
    <row r="64" spans="1:14" ht="63.75">
      <c r="A64"/>
      <c r="B64" s="20" t="s">
        <v>118</v>
      </c>
      <c r="C64" s="29" t="s">
        <v>126</v>
      </c>
      <c r="D64" s="22" t="s">
        <v>44</v>
      </c>
      <c r="E64" s="20" t="s">
        <v>189</v>
      </c>
      <c r="F64" s="23">
        <f t="shared" si="12"/>
        <v>108.64755</v>
      </c>
      <c r="G64" s="20" t="s">
        <v>137</v>
      </c>
      <c r="H64" s="22"/>
      <c r="I64" s="20" t="s">
        <v>202</v>
      </c>
      <c r="J64" s="20" t="s">
        <v>44</v>
      </c>
      <c r="K64" s="20" t="s">
        <v>192</v>
      </c>
      <c r="L64" s="22">
        <v>16.8</v>
      </c>
      <c r="M64" s="23">
        <v>0.8</v>
      </c>
      <c r="N64" s="23">
        <f t="shared" si="13"/>
        <v>13.440000000000001</v>
      </c>
    </row>
    <row r="65" spans="1:14" ht="63.75">
      <c r="A65"/>
      <c r="B65" s="20" t="s">
        <v>118</v>
      </c>
      <c r="C65" s="29" t="s">
        <v>126</v>
      </c>
      <c r="D65" s="22" t="s">
        <v>44</v>
      </c>
      <c r="E65" s="20" t="s">
        <v>189</v>
      </c>
      <c r="F65" s="23">
        <f t="shared" si="12"/>
        <v>108.64755</v>
      </c>
      <c r="G65" s="20" t="s">
        <v>137</v>
      </c>
      <c r="H65" s="22"/>
      <c r="I65" s="20" t="s">
        <v>203</v>
      </c>
      <c r="J65" s="20" t="s">
        <v>44</v>
      </c>
      <c r="K65" s="20" t="s">
        <v>192</v>
      </c>
      <c r="L65" s="22">
        <v>16.8</v>
      </c>
      <c r="M65" s="23">
        <v>0.2</v>
      </c>
      <c r="N65" s="23">
        <f t="shared" si="13"/>
        <v>3.3600000000000003</v>
      </c>
    </row>
    <row r="66" spans="1:14" ht="63.75">
      <c r="A66"/>
      <c r="B66" s="20" t="s">
        <v>118</v>
      </c>
      <c r="C66" s="29" t="s">
        <v>126</v>
      </c>
      <c r="D66" s="22" t="s">
        <v>44</v>
      </c>
      <c r="E66" s="20" t="s">
        <v>189</v>
      </c>
      <c r="F66" s="23">
        <f t="shared" si="12"/>
        <v>108.64755</v>
      </c>
      <c r="G66" s="20" t="s">
        <v>108</v>
      </c>
      <c r="H66" s="22">
        <v>88247</v>
      </c>
      <c r="I66" s="20" t="s">
        <v>198</v>
      </c>
      <c r="J66" s="20" t="s">
        <v>135</v>
      </c>
      <c r="K66" s="20" t="s">
        <v>191</v>
      </c>
      <c r="L66" s="22">
        <v>0.527</v>
      </c>
      <c r="M66" s="22">
        <v>20.42</v>
      </c>
      <c r="N66" s="23">
        <f t="shared" si="13"/>
        <v>10.76134</v>
      </c>
    </row>
    <row r="67" spans="1:14" ht="63.75">
      <c r="A67"/>
      <c r="B67" s="20" t="s">
        <v>118</v>
      </c>
      <c r="C67" s="29" t="s">
        <v>126</v>
      </c>
      <c r="D67" s="22" t="s">
        <v>44</v>
      </c>
      <c r="E67" s="20" t="s">
        <v>189</v>
      </c>
      <c r="F67" s="23">
        <f t="shared" si="12"/>
        <v>108.64755</v>
      </c>
      <c r="G67" s="20" t="s">
        <v>108</v>
      </c>
      <c r="H67" s="22">
        <v>88264</v>
      </c>
      <c r="I67" s="20" t="s">
        <v>159</v>
      </c>
      <c r="J67" s="20" t="s">
        <v>135</v>
      </c>
      <c r="K67" s="20" t="s">
        <v>191</v>
      </c>
      <c r="L67" s="22">
        <v>0.527</v>
      </c>
      <c r="M67" s="22">
        <v>23.23</v>
      </c>
      <c r="N67" s="23">
        <f t="shared" si="13"/>
        <v>12.24221</v>
      </c>
    </row>
    <row r="68" spans="1:14" ht="15">
      <c r="A68"/>
      <c r="B68" s="25"/>
      <c r="C68" s="28"/>
      <c r="D68" s="25"/>
      <c r="E68" s="25"/>
      <c r="F68" s="25"/>
      <c r="G68" s="24"/>
      <c r="H68" s="25"/>
      <c r="I68" s="24"/>
      <c r="J68" s="26"/>
      <c r="K68" s="25"/>
      <c r="L68" s="26"/>
      <c r="M68" s="26"/>
      <c r="N68" s="23">
        <f>SUM(N61:N67)</f>
        <v>108.64755</v>
      </c>
    </row>
    <row r="69" ht="15">
      <c r="A69"/>
    </row>
    <row r="70" spans="1:14" ht="76.5">
      <c r="A70"/>
      <c r="B70" s="20" t="s">
        <v>119</v>
      </c>
      <c r="C70" s="21" t="s">
        <v>614</v>
      </c>
      <c r="D70" s="22" t="s">
        <v>44</v>
      </c>
      <c r="E70" s="20" t="s">
        <v>189</v>
      </c>
      <c r="F70" s="23">
        <f aca="true" t="shared" si="14" ref="F70:F77">N$78</f>
        <v>88.64755000000001</v>
      </c>
      <c r="G70" s="24"/>
      <c r="H70" s="25"/>
      <c r="I70" s="24"/>
      <c r="J70" s="26"/>
      <c r="K70" s="25"/>
      <c r="L70" s="26"/>
      <c r="M70" s="26"/>
      <c r="N70" s="27"/>
    </row>
    <row r="71" spans="1:14" ht="76.5">
      <c r="A71"/>
      <c r="B71" s="20" t="s">
        <v>119</v>
      </c>
      <c r="C71" s="21" t="s">
        <v>614</v>
      </c>
      <c r="D71" s="22" t="s">
        <v>44</v>
      </c>
      <c r="E71" s="20" t="s">
        <v>189</v>
      </c>
      <c r="F71" s="23">
        <f t="shared" si="14"/>
        <v>88.64755000000001</v>
      </c>
      <c r="G71" s="20" t="s">
        <v>137</v>
      </c>
      <c r="H71" s="22" t="s">
        <v>192</v>
      </c>
      <c r="I71" s="20" t="s">
        <v>615</v>
      </c>
      <c r="J71" s="20" t="s">
        <v>44</v>
      </c>
      <c r="K71" s="20" t="s">
        <v>192</v>
      </c>
      <c r="L71" s="22">
        <v>1</v>
      </c>
      <c r="M71" s="23">
        <v>32.9</v>
      </c>
      <c r="N71" s="23">
        <f aca="true" t="shared" si="15" ref="N71:N77">L71*M71</f>
        <v>32.9</v>
      </c>
    </row>
    <row r="72" spans="1:14" ht="76.5">
      <c r="A72"/>
      <c r="B72" s="20" t="s">
        <v>119</v>
      </c>
      <c r="C72" s="21" t="s">
        <v>614</v>
      </c>
      <c r="D72" s="22" t="s">
        <v>44</v>
      </c>
      <c r="E72" s="20" t="s">
        <v>189</v>
      </c>
      <c r="F72" s="23">
        <f t="shared" si="14"/>
        <v>88.64755000000001</v>
      </c>
      <c r="G72" s="20" t="s">
        <v>137</v>
      </c>
      <c r="H72" s="22" t="s">
        <v>192</v>
      </c>
      <c r="I72" s="20" t="s">
        <v>612</v>
      </c>
      <c r="J72" s="20" t="s">
        <v>44</v>
      </c>
      <c r="K72" s="20" t="s">
        <v>192</v>
      </c>
      <c r="L72" s="22">
        <v>4</v>
      </c>
      <c r="M72" s="23">
        <v>1.76</v>
      </c>
      <c r="N72" s="23">
        <f t="shared" si="15"/>
        <v>7.04</v>
      </c>
    </row>
    <row r="73" spans="1:14" ht="76.5">
      <c r="A73"/>
      <c r="B73" s="20" t="s">
        <v>119</v>
      </c>
      <c r="C73" s="21" t="s">
        <v>614</v>
      </c>
      <c r="D73" s="22" t="s">
        <v>44</v>
      </c>
      <c r="E73" s="20" t="s">
        <v>189</v>
      </c>
      <c r="F73" s="23">
        <f t="shared" si="14"/>
        <v>88.64755000000001</v>
      </c>
      <c r="G73" s="20" t="s">
        <v>137</v>
      </c>
      <c r="H73" s="22"/>
      <c r="I73" s="20" t="s">
        <v>201</v>
      </c>
      <c r="J73" s="20" t="s">
        <v>44</v>
      </c>
      <c r="K73" s="20" t="s">
        <v>192</v>
      </c>
      <c r="L73" s="22">
        <v>16.8</v>
      </c>
      <c r="M73" s="23">
        <v>0.53</v>
      </c>
      <c r="N73" s="23">
        <f t="shared" si="15"/>
        <v>8.904000000000002</v>
      </c>
    </row>
    <row r="74" spans="1:14" ht="76.5">
      <c r="A74"/>
      <c r="B74" s="20" t="s">
        <v>119</v>
      </c>
      <c r="C74" s="21" t="s">
        <v>614</v>
      </c>
      <c r="D74" s="22" t="s">
        <v>44</v>
      </c>
      <c r="E74" s="20" t="s">
        <v>189</v>
      </c>
      <c r="F74" s="23">
        <f t="shared" si="14"/>
        <v>88.64755000000001</v>
      </c>
      <c r="G74" s="20" t="s">
        <v>137</v>
      </c>
      <c r="H74" s="22"/>
      <c r="I74" s="20" t="s">
        <v>202</v>
      </c>
      <c r="J74" s="20" t="s">
        <v>44</v>
      </c>
      <c r="K74" s="20" t="s">
        <v>192</v>
      </c>
      <c r="L74" s="22">
        <v>16.8</v>
      </c>
      <c r="M74" s="23">
        <v>0.8</v>
      </c>
      <c r="N74" s="23">
        <f t="shared" si="15"/>
        <v>13.440000000000001</v>
      </c>
    </row>
    <row r="75" spans="1:14" ht="76.5">
      <c r="A75"/>
      <c r="B75" s="20" t="s">
        <v>119</v>
      </c>
      <c r="C75" s="21" t="s">
        <v>614</v>
      </c>
      <c r="D75" s="22" t="s">
        <v>44</v>
      </c>
      <c r="E75" s="20" t="s">
        <v>189</v>
      </c>
      <c r="F75" s="23">
        <f t="shared" si="14"/>
        <v>88.64755000000001</v>
      </c>
      <c r="G75" s="20" t="s">
        <v>137</v>
      </c>
      <c r="H75" s="22"/>
      <c r="I75" s="20" t="s">
        <v>203</v>
      </c>
      <c r="J75" s="20" t="s">
        <v>44</v>
      </c>
      <c r="K75" s="20" t="s">
        <v>192</v>
      </c>
      <c r="L75" s="22">
        <v>16.8</v>
      </c>
      <c r="M75" s="23">
        <v>0.2</v>
      </c>
      <c r="N75" s="23">
        <f t="shared" si="15"/>
        <v>3.3600000000000003</v>
      </c>
    </row>
    <row r="76" spans="1:14" ht="76.5">
      <c r="A76"/>
      <c r="B76" s="20" t="s">
        <v>119</v>
      </c>
      <c r="C76" s="21" t="s">
        <v>614</v>
      </c>
      <c r="D76" s="22" t="s">
        <v>44</v>
      </c>
      <c r="E76" s="20" t="s">
        <v>189</v>
      </c>
      <c r="F76" s="23">
        <f t="shared" si="14"/>
        <v>88.64755000000001</v>
      </c>
      <c r="G76" s="20" t="s">
        <v>108</v>
      </c>
      <c r="H76" s="22">
        <v>88247</v>
      </c>
      <c r="I76" s="20" t="s">
        <v>198</v>
      </c>
      <c r="J76" s="20" t="s">
        <v>135</v>
      </c>
      <c r="K76" s="20" t="s">
        <v>191</v>
      </c>
      <c r="L76" s="22">
        <v>0.527</v>
      </c>
      <c r="M76" s="22">
        <v>20.42</v>
      </c>
      <c r="N76" s="23">
        <f t="shared" si="15"/>
        <v>10.76134</v>
      </c>
    </row>
    <row r="77" spans="1:14" ht="76.5">
      <c r="A77"/>
      <c r="B77" s="20" t="s">
        <v>119</v>
      </c>
      <c r="C77" s="21" t="s">
        <v>614</v>
      </c>
      <c r="D77" s="22" t="s">
        <v>44</v>
      </c>
      <c r="E77" s="20" t="s">
        <v>189</v>
      </c>
      <c r="F77" s="23">
        <f t="shared" si="14"/>
        <v>88.64755000000001</v>
      </c>
      <c r="G77" s="20" t="s">
        <v>108</v>
      </c>
      <c r="H77" s="22">
        <v>88264</v>
      </c>
      <c r="I77" s="20" t="s">
        <v>159</v>
      </c>
      <c r="J77" s="20" t="s">
        <v>135</v>
      </c>
      <c r="K77" s="20" t="s">
        <v>191</v>
      </c>
      <c r="L77" s="22">
        <v>0.527</v>
      </c>
      <c r="M77" s="22">
        <v>23.23</v>
      </c>
      <c r="N77" s="23">
        <f t="shared" si="15"/>
        <v>12.24221</v>
      </c>
    </row>
    <row r="78" spans="1:14" ht="15">
      <c r="A78"/>
      <c r="B78" s="25"/>
      <c r="C78" s="28"/>
      <c r="D78" s="25"/>
      <c r="E78" s="25"/>
      <c r="F78" s="25"/>
      <c r="G78" s="24"/>
      <c r="H78" s="25"/>
      <c r="I78" s="24"/>
      <c r="J78" s="26"/>
      <c r="K78" s="25"/>
      <c r="L78" s="26"/>
      <c r="M78" s="26"/>
      <c r="N78" s="23">
        <f>SUM(N71:N77)</f>
        <v>88.64755000000001</v>
      </c>
    </row>
    <row r="79" ht="15">
      <c r="A79"/>
    </row>
    <row r="80" spans="1:14" ht="63.75">
      <c r="A80"/>
      <c r="B80" s="20" t="s">
        <v>120</v>
      </c>
      <c r="C80" s="29" t="s">
        <v>488</v>
      </c>
      <c r="D80" s="22" t="s">
        <v>44</v>
      </c>
      <c r="E80" s="20" t="s">
        <v>189</v>
      </c>
      <c r="F80" s="23">
        <f aca="true" t="shared" si="16" ref="F80:F87">N$88</f>
        <v>110.46755</v>
      </c>
      <c r="G80" s="24"/>
      <c r="H80" s="25"/>
      <c r="I80" s="24"/>
      <c r="J80" s="26"/>
      <c r="K80" s="25"/>
      <c r="L80" s="26"/>
      <c r="M80" s="26"/>
      <c r="N80" s="27"/>
    </row>
    <row r="81" spans="1:14" ht="63.75">
      <c r="A81"/>
      <c r="B81" s="20" t="s">
        <v>120</v>
      </c>
      <c r="C81" s="29" t="s">
        <v>488</v>
      </c>
      <c r="D81" s="22" t="s">
        <v>44</v>
      </c>
      <c r="E81" s="20" t="s">
        <v>189</v>
      </c>
      <c r="F81" s="23">
        <f t="shared" si="16"/>
        <v>110.46755</v>
      </c>
      <c r="G81" s="20" t="s">
        <v>137</v>
      </c>
      <c r="H81" s="22" t="s">
        <v>192</v>
      </c>
      <c r="I81" s="29" t="s">
        <v>616</v>
      </c>
      <c r="J81" s="20" t="s">
        <v>44</v>
      </c>
      <c r="K81" s="20" t="s">
        <v>192</v>
      </c>
      <c r="L81" s="22">
        <v>1</v>
      </c>
      <c r="M81" s="23">
        <v>54.72</v>
      </c>
      <c r="N81" s="23">
        <f aca="true" t="shared" si="17" ref="N81:N87">L81*M81</f>
        <v>54.72</v>
      </c>
    </row>
    <row r="82" spans="1:14" ht="63.75">
      <c r="A82"/>
      <c r="B82" s="20" t="s">
        <v>120</v>
      </c>
      <c r="C82" s="29" t="s">
        <v>488</v>
      </c>
      <c r="D82" s="22" t="s">
        <v>44</v>
      </c>
      <c r="E82" s="20" t="s">
        <v>189</v>
      </c>
      <c r="F82" s="23">
        <f t="shared" si="16"/>
        <v>110.46755</v>
      </c>
      <c r="G82" s="20" t="s">
        <v>137</v>
      </c>
      <c r="H82" s="22" t="s">
        <v>192</v>
      </c>
      <c r="I82" s="20" t="s">
        <v>200</v>
      </c>
      <c r="J82" s="20" t="s">
        <v>44</v>
      </c>
      <c r="K82" s="20" t="s">
        <v>192</v>
      </c>
      <c r="L82" s="22">
        <v>4</v>
      </c>
      <c r="M82" s="23">
        <v>1.76</v>
      </c>
      <c r="N82" s="23">
        <f t="shared" si="17"/>
        <v>7.04</v>
      </c>
    </row>
    <row r="83" spans="1:14" ht="63.75">
      <c r="A83"/>
      <c r="B83" s="20" t="s">
        <v>120</v>
      </c>
      <c r="C83" s="29" t="s">
        <v>488</v>
      </c>
      <c r="D83" s="22" t="s">
        <v>44</v>
      </c>
      <c r="E83" s="20" t="s">
        <v>189</v>
      </c>
      <c r="F83" s="23">
        <f t="shared" si="16"/>
        <v>110.46755</v>
      </c>
      <c r="G83" s="20" t="s">
        <v>137</v>
      </c>
      <c r="H83" s="22"/>
      <c r="I83" s="20" t="s">
        <v>201</v>
      </c>
      <c r="J83" s="20" t="s">
        <v>44</v>
      </c>
      <c r="K83" s="20" t="s">
        <v>192</v>
      </c>
      <c r="L83" s="22">
        <v>16.8</v>
      </c>
      <c r="M83" s="23">
        <v>0.53</v>
      </c>
      <c r="N83" s="23">
        <f t="shared" si="17"/>
        <v>8.904000000000002</v>
      </c>
    </row>
    <row r="84" spans="1:14" ht="63.75">
      <c r="A84"/>
      <c r="B84" s="20" t="s">
        <v>120</v>
      </c>
      <c r="C84" s="29" t="s">
        <v>488</v>
      </c>
      <c r="D84" s="22" t="s">
        <v>44</v>
      </c>
      <c r="E84" s="20" t="s">
        <v>189</v>
      </c>
      <c r="F84" s="23">
        <f t="shared" si="16"/>
        <v>110.46755</v>
      </c>
      <c r="G84" s="20" t="s">
        <v>137</v>
      </c>
      <c r="H84" s="22"/>
      <c r="I84" s="20" t="s">
        <v>202</v>
      </c>
      <c r="J84" s="20" t="s">
        <v>44</v>
      </c>
      <c r="K84" s="20" t="s">
        <v>192</v>
      </c>
      <c r="L84" s="22">
        <v>16.8</v>
      </c>
      <c r="M84" s="23">
        <v>0.8</v>
      </c>
      <c r="N84" s="23">
        <f t="shared" si="17"/>
        <v>13.440000000000001</v>
      </c>
    </row>
    <row r="85" spans="1:14" ht="63.75">
      <c r="A85"/>
      <c r="B85" s="20" t="s">
        <v>120</v>
      </c>
      <c r="C85" s="29" t="s">
        <v>488</v>
      </c>
      <c r="D85" s="22" t="s">
        <v>44</v>
      </c>
      <c r="E85" s="20" t="s">
        <v>189</v>
      </c>
      <c r="F85" s="23">
        <f t="shared" si="16"/>
        <v>110.46755</v>
      </c>
      <c r="G85" s="20" t="s">
        <v>137</v>
      </c>
      <c r="H85" s="22"/>
      <c r="I85" s="20" t="s">
        <v>203</v>
      </c>
      <c r="J85" s="20" t="s">
        <v>44</v>
      </c>
      <c r="K85" s="20" t="s">
        <v>192</v>
      </c>
      <c r="L85" s="22">
        <v>16.8</v>
      </c>
      <c r="M85" s="23">
        <v>0.2</v>
      </c>
      <c r="N85" s="23">
        <f t="shared" si="17"/>
        <v>3.3600000000000003</v>
      </c>
    </row>
    <row r="86" spans="1:14" ht="63.75">
      <c r="A86"/>
      <c r="B86" s="20" t="s">
        <v>120</v>
      </c>
      <c r="C86" s="29" t="s">
        <v>488</v>
      </c>
      <c r="D86" s="22" t="s">
        <v>44</v>
      </c>
      <c r="E86" s="20" t="s">
        <v>189</v>
      </c>
      <c r="F86" s="23">
        <f t="shared" si="16"/>
        <v>110.46755</v>
      </c>
      <c r="G86" s="20" t="s">
        <v>108</v>
      </c>
      <c r="H86" s="22">
        <v>88247</v>
      </c>
      <c r="I86" s="20" t="s">
        <v>198</v>
      </c>
      <c r="J86" s="20" t="s">
        <v>135</v>
      </c>
      <c r="K86" s="20" t="s">
        <v>191</v>
      </c>
      <c r="L86" s="22">
        <v>0.527</v>
      </c>
      <c r="M86" s="22">
        <v>20.42</v>
      </c>
      <c r="N86" s="23">
        <f t="shared" si="17"/>
        <v>10.76134</v>
      </c>
    </row>
    <row r="87" spans="1:14" ht="63.75">
      <c r="A87"/>
      <c r="B87" s="20" t="s">
        <v>120</v>
      </c>
      <c r="C87" s="29" t="s">
        <v>488</v>
      </c>
      <c r="D87" s="22" t="s">
        <v>44</v>
      </c>
      <c r="E87" s="20" t="s">
        <v>189</v>
      </c>
      <c r="F87" s="23">
        <f t="shared" si="16"/>
        <v>110.46755</v>
      </c>
      <c r="G87" s="20" t="s">
        <v>108</v>
      </c>
      <c r="H87" s="22">
        <v>88264</v>
      </c>
      <c r="I87" s="20" t="s">
        <v>159</v>
      </c>
      <c r="J87" s="20" t="s">
        <v>135</v>
      </c>
      <c r="K87" s="20" t="s">
        <v>191</v>
      </c>
      <c r="L87" s="22">
        <v>0.527</v>
      </c>
      <c r="M87" s="22">
        <v>23.23</v>
      </c>
      <c r="N87" s="23">
        <f t="shared" si="17"/>
        <v>12.24221</v>
      </c>
    </row>
    <row r="88" spans="1:14" ht="15">
      <c r="A88"/>
      <c r="B88" s="25"/>
      <c r="C88" s="28"/>
      <c r="D88" s="25"/>
      <c r="E88" s="25"/>
      <c r="F88" s="25"/>
      <c r="G88" s="24"/>
      <c r="H88" s="25"/>
      <c r="I88" s="24"/>
      <c r="J88" s="26"/>
      <c r="K88" s="25"/>
      <c r="L88" s="26"/>
      <c r="M88" s="26"/>
      <c r="N88" s="23">
        <f>SUM(N81:N87)</f>
        <v>110.46755</v>
      </c>
    </row>
    <row r="89" ht="15">
      <c r="A89"/>
    </row>
    <row r="90" spans="1:14" ht="76.5">
      <c r="A90"/>
      <c r="B90" s="20" t="s">
        <v>121</v>
      </c>
      <c r="C90" s="21" t="s">
        <v>617</v>
      </c>
      <c r="D90" s="22" t="s">
        <v>44</v>
      </c>
      <c r="E90" s="20" t="s">
        <v>189</v>
      </c>
      <c r="F90" s="23">
        <f aca="true" t="shared" si="18" ref="F90:F97">N$98</f>
        <v>96.73755000000001</v>
      </c>
      <c r="G90" s="24"/>
      <c r="H90" s="25"/>
      <c r="I90" s="24"/>
      <c r="J90" s="26"/>
      <c r="K90" s="25"/>
      <c r="L90" s="26"/>
      <c r="M90" s="26"/>
      <c r="N90" s="27"/>
    </row>
    <row r="91" spans="1:14" ht="76.5">
      <c r="A91"/>
      <c r="B91" s="20" t="s">
        <v>121</v>
      </c>
      <c r="C91" s="21" t="s">
        <v>617</v>
      </c>
      <c r="D91" s="22" t="s">
        <v>44</v>
      </c>
      <c r="E91" s="20" t="s">
        <v>189</v>
      </c>
      <c r="F91" s="23">
        <f t="shared" si="18"/>
        <v>96.73755000000001</v>
      </c>
      <c r="G91" s="20" t="s">
        <v>137</v>
      </c>
      <c r="H91" s="22" t="s">
        <v>192</v>
      </c>
      <c r="I91" s="20" t="s">
        <v>618</v>
      </c>
      <c r="J91" s="20" t="s">
        <v>44</v>
      </c>
      <c r="K91" s="20" t="s">
        <v>192</v>
      </c>
      <c r="L91" s="22">
        <v>1</v>
      </c>
      <c r="M91" s="23">
        <v>40.99</v>
      </c>
      <c r="N91" s="23">
        <f aca="true" t="shared" si="19" ref="N91:N97">L91*M91</f>
        <v>40.99</v>
      </c>
    </row>
    <row r="92" spans="1:14" ht="76.5">
      <c r="A92"/>
      <c r="B92" s="20" t="s">
        <v>121</v>
      </c>
      <c r="C92" s="21" t="s">
        <v>617</v>
      </c>
      <c r="D92" s="22" t="s">
        <v>44</v>
      </c>
      <c r="E92" s="20" t="s">
        <v>189</v>
      </c>
      <c r="F92" s="23">
        <f t="shared" si="18"/>
        <v>96.73755000000001</v>
      </c>
      <c r="G92" s="20" t="s">
        <v>137</v>
      </c>
      <c r="H92" s="22" t="s">
        <v>192</v>
      </c>
      <c r="I92" s="20" t="s">
        <v>612</v>
      </c>
      <c r="J92" s="20" t="s">
        <v>44</v>
      </c>
      <c r="K92" s="20" t="s">
        <v>192</v>
      </c>
      <c r="L92" s="22">
        <v>4</v>
      </c>
      <c r="M92" s="23">
        <v>1.76</v>
      </c>
      <c r="N92" s="23">
        <f t="shared" si="19"/>
        <v>7.04</v>
      </c>
    </row>
    <row r="93" spans="1:14" ht="76.5">
      <c r="A93"/>
      <c r="B93" s="20" t="s">
        <v>121</v>
      </c>
      <c r="C93" s="21" t="s">
        <v>617</v>
      </c>
      <c r="D93" s="22" t="s">
        <v>44</v>
      </c>
      <c r="E93" s="20" t="s">
        <v>189</v>
      </c>
      <c r="F93" s="23">
        <f t="shared" si="18"/>
        <v>96.73755000000001</v>
      </c>
      <c r="G93" s="20" t="s">
        <v>137</v>
      </c>
      <c r="H93" s="22"/>
      <c r="I93" s="20" t="s">
        <v>201</v>
      </c>
      <c r="J93" s="20" t="s">
        <v>44</v>
      </c>
      <c r="K93" s="20" t="s">
        <v>192</v>
      </c>
      <c r="L93" s="22">
        <v>16.8</v>
      </c>
      <c r="M93" s="23">
        <v>0.53</v>
      </c>
      <c r="N93" s="23">
        <f t="shared" si="19"/>
        <v>8.904000000000002</v>
      </c>
    </row>
    <row r="94" spans="1:14" ht="76.5">
      <c r="A94"/>
      <c r="B94" s="20" t="s">
        <v>121</v>
      </c>
      <c r="C94" s="21" t="s">
        <v>617</v>
      </c>
      <c r="D94" s="22" t="s">
        <v>44</v>
      </c>
      <c r="E94" s="20" t="s">
        <v>189</v>
      </c>
      <c r="F94" s="23">
        <f t="shared" si="18"/>
        <v>96.73755000000001</v>
      </c>
      <c r="G94" s="20" t="s">
        <v>137</v>
      </c>
      <c r="H94" s="22"/>
      <c r="I94" s="20" t="s">
        <v>202</v>
      </c>
      <c r="J94" s="20" t="s">
        <v>44</v>
      </c>
      <c r="K94" s="20" t="s">
        <v>192</v>
      </c>
      <c r="L94" s="22">
        <v>16.8</v>
      </c>
      <c r="M94" s="23">
        <v>0.8</v>
      </c>
      <c r="N94" s="23">
        <f t="shared" si="19"/>
        <v>13.440000000000001</v>
      </c>
    </row>
    <row r="95" spans="1:14" ht="76.5">
      <c r="A95"/>
      <c r="B95" s="20" t="s">
        <v>121</v>
      </c>
      <c r="C95" s="21" t="s">
        <v>617</v>
      </c>
      <c r="D95" s="22" t="s">
        <v>44</v>
      </c>
      <c r="E95" s="20" t="s">
        <v>189</v>
      </c>
      <c r="F95" s="23">
        <f t="shared" si="18"/>
        <v>96.73755000000001</v>
      </c>
      <c r="G95" s="20" t="s">
        <v>137</v>
      </c>
      <c r="H95" s="22"/>
      <c r="I95" s="20" t="s">
        <v>203</v>
      </c>
      <c r="J95" s="20" t="s">
        <v>44</v>
      </c>
      <c r="K95" s="20" t="s">
        <v>192</v>
      </c>
      <c r="L95" s="22">
        <v>16.8</v>
      </c>
      <c r="M95" s="23">
        <v>0.2</v>
      </c>
      <c r="N95" s="23">
        <f t="shared" si="19"/>
        <v>3.3600000000000003</v>
      </c>
    </row>
    <row r="96" spans="1:14" ht="76.5">
      <c r="A96"/>
      <c r="B96" s="20" t="s">
        <v>121</v>
      </c>
      <c r="C96" s="21" t="s">
        <v>617</v>
      </c>
      <c r="D96" s="22" t="s">
        <v>44</v>
      </c>
      <c r="E96" s="20" t="s">
        <v>189</v>
      </c>
      <c r="F96" s="23">
        <f t="shared" si="18"/>
        <v>96.73755000000001</v>
      </c>
      <c r="G96" s="20" t="s">
        <v>108</v>
      </c>
      <c r="H96" s="22">
        <v>88247</v>
      </c>
      <c r="I96" s="20" t="s">
        <v>198</v>
      </c>
      <c r="J96" s="20" t="s">
        <v>135</v>
      </c>
      <c r="K96" s="20" t="s">
        <v>191</v>
      </c>
      <c r="L96" s="22">
        <v>0.527</v>
      </c>
      <c r="M96" s="22">
        <v>20.42</v>
      </c>
      <c r="N96" s="23">
        <f t="shared" si="19"/>
        <v>10.76134</v>
      </c>
    </row>
    <row r="97" spans="1:14" ht="76.5">
      <c r="A97"/>
      <c r="B97" s="20" t="s">
        <v>121</v>
      </c>
      <c r="C97" s="21" t="s">
        <v>617</v>
      </c>
      <c r="D97" s="22" t="s">
        <v>44</v>
      </c>
      <c r="E97" s="20" t="s">
        <v>189</v>
      </c>
      <c r="F97" s="23">
        <f t="shared" si="18"/>
        <v>96.73755000000001</v>
      </c>
      <c r="G97" s="20" t="s">
        <v>108</v>
      </c>
      <c r="H97" s="22">
        <v>88264</v>
      </c>
      <c r="I97" s="20" t="s">
        <v>159</v>
      </c>
      <c r="J97" s="20" t="s">
        <v>135</v>
      </c>
      <c r="K97" s="20" t="s">
        <v>191</v>
      </c>
      <c r="L97" s="22">
        <v>0.527</v>
      </c>
      <c r="M97" s="22">
        <v>23.23</v>
      </c>
      <c r="N97" s="23">
        <f t="shared" si="19"/>
        <v>12.24221</v>
      </c>
    </row>
    <row r="98" spans="1:14" ht="15">
      <c r="A98"/>
      <c r="B98" s="25"/>
      <c r="C98" s="28"/>
      <c r="D98" s="25"/>
      <c r="E98" s="25"/>
      <c r="F98" s="25"/>
      <c r="G98" s="24"/>
      <c r="H98" s="25"/>
      <c r="I98" s="24"/>
      <c r="J98" s="26"/>
      <c r="K98" s="25"/>
      <c r="L98" s="26"/>
      <c r="M98" s="26"/>
      <c r="N98" s="23">
        <f>SUM(N91:N97)</f>
        <v>96.73755000000001</v>
      </c>
    </row>
    <row r="99" ht="15">
      <c r="A99"/>
    </row>
    <row r="100" spans="1:14" ht="76.5">
      <c r="A100"/>
      <c r="B100" s="20" t="s">
        <v>122</v>
      </c>
      <c r="C100" s="21" t="s">
        <v>619</v>
      </c>
      <c r="D100" s="22" t="s">
        <v>44</v>
      </c>
      <c r="E100" s="20" t="s">
        <v>189</v>
      </c>
      <c r="F100" s="23">
        <f aca="true" t="shared" si="20" ref="F100:F107">N$108</f>
        <v>106.81755</v>
      </c>
      <c r="G100" s="24"/>
      <c r="H100" s="25"/>
      <c r="I100" s="24"/>
      <c r="J100" s="26"/>
      <c r="K100" s="25"/>
      <c r="L100" s="26"/>
      <c r="M100" s="26"/>
      <c r="N100" s="27"/>
    </row>
    <row r="101" spans="1:14" ht="76.5">
      <c r="A101"/>
      <c r="B101" s="20" t="s">
        <v>122</v>
      </c>
      <c r="C101" s="21" t="s">
        <v>619</v>
      </c>
      <c r="D101" s="22" t="s">
        <v>44</v>
      </c>
      <c r="E101" s="20" t="s">
        <v>189</v>
      </c>
      <c r="F101" s="23">
        <f t="shared" si="20"/>
        <v>106.81755</v>
      </c>
      <c r="G101" s="20" t="s">
        <v>137</v>
      </c>
      <c r="H101" s="22" t="s">
        <v>192</v>
      </c>
      <c r="I101" s="20" t="s">
        <v>620</v>
      </c>
      <c r="J101" s="20" t="s">
        <v>44</v>
      </c>
      <c r="K101" s="20" t="s">
        <v>192</v>
      </c>
      <c r="L101" s="22">
        <v>1</v>
      </c>
      <c r="M101" s="23">
        <v>51.07</v>
      </c>
      <c r="N101" s="23">
        <f aca="true" t="shared" si="21" ref="N101:N107">L101*M101</f>
        <v>51.07</v>
      </c>
    </row>
    <row r="102" spans="1:14" ht="76.5">
      <c r="A102"/>
      <c r="B102" s="20" t="s">
        <v>122</v>
      </c>
      <c r="C102" s="21" t="s">
        <v>619</v>
      </c>
      <c r="D102" s="22" t="s">
        <v>44</v>
      </c>
      <c r="E102" s="20" t="s">
        <v>189</v>
      </c>
      <c r="F102" s="23">
        <f t="shared" si="20"/>
        <v>106.81755</v>
      </c>
      <c r="G102" s="20" t="s">
        <v>137</v>
      </c>
      <c r="H102" s="22" t="s">
        <v>192</v>
      </c>
      <c r="I102" s="20" t="s">
        <v>612</v>
      </c>
      <c r="J102" s="20" t="s">
        <v>44</v>
      </c>
      <c r="K102" s="20" t="s">
        <v>192</v>
      </c>
      <c r="L102" s="22">
        <v>4</v>
      </c>
      <c r="M102" s="23">
        <v>1.76</v>
      </c>
      <c r="N102" s="23">
        <f t="shared" si="21"/>
        <v>7.04</v>
      </c>
    </row>
    <row r="103" spans="1:14" ht="76.5">
      <c r="A103"/>
      <c r="B103" s="20" t="s">
        <v>122</v>
      </c>
      <c r="C103" s="21" t="s">
        <v>619</v>
      </c>
      <c r="D103" s="22" t="s">
        <v>44</v>
      </c>
      <c r="E103" s="20" t="s">
        <v>189</v>
      </c>
      <c r="F103" s="23">
        <f t="shared" si="20"/>
        <v>106.81755</v>
      </c>
      <c r="G103" s="20" t="s">
        <v>137</v>
      </c>
      <c r="H103" s="22"/>
      <c r="I103" s="20" t="s">
        <v>201</v>
      </c>
      <c r="J103" s="20" t="s">
        <v>44</v>
      </c>
      <c r="K103" s="20" t="s">
        <v>192</v>
      </c>
      <c r="L103" s="22">
        <v>16.8</v>
      </c>
      <c r="M103" s="23">
        <v>0.53</v>
      </c>
      <c r="N103" s="23">
        <f t="shared" si="21"/>
        <v>8.904000000000002</v>
      </c>
    </row>
    <row r="104" spans="1:14" ht="76.5">
      <c r="A104"/>
      <c r="B104" s="20" t="s">
        <v>122</v>
      </c>
      <c r="C104" s="21" t="s">
        <v>619</v>
      </c>
      <c r="D104" s="22" t="s">
        <v>44</v>
      </c>
      <c r="E104" s="20" t="s">
        <v>189</v>
      </c>
      <c r="F104" s="23">
        <f t="shared" si="20"/>
        <v>106.81755</v>
      </c>
      <c r="G104" s="20" t="s">
        <v>137</v>
      </c>
      <c r="H104" s="22"/>
      <c r="I104" s="20" t="s">
        <v>202</v>
      </c>
      <c r="J104" s="20" t="s">
        <v>44</v>
      </c>
      <c r="K104" s="20" t="s">
        <v>192</v>
      </c>
      <c r="L104" s="22">
        <v>16.8</v>
      </c>
      <c r="M104" s="23">
        <v>0.8</v>
      </c>
      <c r="N104" s="23">
        <f t="shared" si="21"/>
        <v>13.440000000000001</v>
      </c>
    </row>
    <row r="105" spans="1:14" ht="76.5">
      <c r="A105"/>
      <c r="B105" s="20" t="s">
        <v>122</v>
      </c>
      <c r="C105" s="21" t="s">
        <v>619</v>
      </c>
      <c r="D105" s="22" t="s">
        <v>44</v>
      </c>
      <c r="E105" s="20" t="s">
        <v>189</v>
      </c>
      <c r="F105" s="23">
        <f t="shared" si="20"/>
        <v>106.81755</v>
      </c>
      <c r="G105" s="20" t="s">
        <v>137</v>
      </c>
      <c r="H105" s="22"/>
      <c r="I105" s="20" t="s">
        <v>203</v>
      </c>
      <c r="J105" s="20" t="s">
        <v>44</v>
      </c>
      <c r="K105" s="20" t="s">
        <v>192</v>
      </c>
      <c r="L105" s="22">
        <v>16.8</v>
      </c>
      <c r="M105" s="23">
        <v>0.2</v>
      </c>
      <c r="N105" s="23">
        <f t="shared" si="21"/>
        <v>3.3600000000000003</v>
      </c>
    </row>
    <row r="106" spans="1:14" ht="76.5">
      <c r="A106"/>
      <c r="B106" s="20" t="s">
        <v>122</v>
      </c>
      <c r="C106" s="21" t="s">
        <v>619</v>
      </c>
      <c r="D106" s="22" t="s">
        <v>44</v>
      </c>
      <c r="E106" s="20" t="s">
        <v>189</v>
      </c>
      <c r="F106" s="23">
        <f t="shared" si="20"/>
        <v>106.81755</v>
      </c>
      <c r="G106" s="20" t="s">
        <v>108</v>
      </c>
      <c r="H106" s="22">
        <v>88247</v>
      </c>
      <c r="I106" s="20" t="s">
        <v>198</v>
      </c>
      <c r="J106" s="20" t="s">
        <v>135</v>
      </c>
      <c r="K106" s="20" t="s">
        <v>191</v>
      </c>
      <c r="L106" s="22">
        <v>0.527</v>
      </c>
      <c r="M106" s="22">
        <v>20.42</v>
      </c>
      <c r="N106" s="23">
        <f t="shared" si="21"/>
        <v>10.76134</v>
      </c>
    </row>
    <row r="107" spans="1:14" ht="76.5">
      <c r="A107"/>
      <c r="B107" s="20" t="s">
        <v>122</v>
      </c>
      <c r="C107" s="21" t="s">
        <v>619</v>
      </c>
      <c r="D107" s="22" t="s">
        <v>44</v>
      </c>
      <c r="E107" s="20" t="s">
        <v>189</v>
      </c>
      <c r="F107" s="23">
        <f t="shared" si="20"/>
        <v>106.81755</v>
      </c>
      <c r="G107" s="20" t="s">
        <v>108</v>
      </c>
      <c r="H107" s="22">
        <v>88264</v>
      </c>
      <c r="I107" s="20" t="s">
        <v>159</v>
      </c>
      <c r="J107" s="20" t="s">
        <v>135</v>
      </c>
      <c r="K107" s="20" t="s">
        <v>191</v>
      </c>
      <c r="L107" s="22">
        <v>0.527</v>
      </c>
      <c r="M107" s="22">
        <v>23.23</v>
      </c>
      <c r="N107" s="23">
        <f t="shared" si="21"/>
        <v>12.24221</v>
      </c>
    </row>
    <row r="108" spans="1:14" ht="15">
      <c r="A108"/>
      <c r="B108" s="25"/>
      <c r="C108" s="28"/>
      <c r="D108" s="25"/>
      <c r="E108" s="25"/>
      <c r="F108" s="25"/>
      <c r="G108" s="24"/>
      <c r="H108" s="25"/>
      <c r="I108" s="24"/>
      <c r="J108" s="26"/>
      <c r="K108" s="25"/>
      <c r="L108" s="26"/>
      <c r="M108" s="26"/>
      <c r="N108" s="23">
        <f>SUM(N101:N107)</f>
        <v>106.81755</v>
      </c>
    </row>
    <row r="109" spans="1:14" ht="15">
      <c r="A109"/>
      <c r="B109"/>
      <c r="C109"/>
      <c r="D109"/>
      <c r="E109"/>
      <c r="F109"/>
      <c r="G109"/>
      <c r="H109"/>
      <c r="I109"/>
      <c r="J109"/>
      <c r="K109"/>
      <c r="L109"/>
      <c r="M109"/>
      <c r="N109"/>
    </row>
    <row r="110" spans="1:14" ht="63.75">
      <c r="A110"/>
      <c r="B110" s="20" t="s">
        <v>123</v>
      </c>
      <c r="C110" s="21" t="s">
        <v>621</v>
      </c>
      <c r="D110" s="22" t="s">
        <v>44</v>
      </c>
      <c r="E110" s="20" t="s">
        <v>189</v>
      </c>
      <c r="F110" s="23">
        <f aca="true" t="shared" si="22" ref="F110:F117">N$118</f>
        <v>132.80755</v>
      </c>
      <c r="G110" s="24"/>
      <c r="H110" s="25"/>
      <c r="I110" s="24"/>
      <c r="J110" s="26"/>
      <c r="K110" s="25"/>
      <c r="L110" s="26"/>
      <c r="M110" s="26"/>
      <c r="N110" s="27"/>
    </row>
    <row r="111" spans="1:14" ht="63.75">
      <c r="A111"/>
      <c r="B111" s="20" t="s">
        <v>123</v>
      </c>
      <c r="C111" s="21" t="s">
        <v>621</v>
      </c>
      <c r="D111" s="22" t="s">
        <v>44</v>
      </c>
      <c r="E111" s="20" t="s">
        <v>189</v>
      </c>
      <c r="F111" s="23">
        <f t="shared" si="22"/>
        <v>132.80755</v>
      </c>
      <c r="G111" s="20" t="s">
        <v>137</v>
      </c>
      <c r="H111" s="22" t="s">
        <v>192</v>
      </c>
      <c r="I111" s="21" t="s">
        <v>622</v>
      </c>
      <c r="J111" s="20" t="s">
        <v>44</v>
      </c>
      <c r="K111" s="20" t="s">
        <v>192</v>
      </c>
      <c r="L111" s="22">
        <v>1</v>
      </c>
      <c r="M111" s="23">
        <v>77.06</v>
      </c>
      <c r="N111" s="23">
        <f aca="true" t="shared" si="23" ref="N111:N117">L111*M111</f>
        <v>77.06</v>
      </c>
    </row>
    <row r="112" spans="1:14" ht="63.75">
      <c r="A112"/>
      <c r="B112" s="20" t="s">
        <v>123</v>
      </c>
      <c r="C112" s="21" t="s">
        <v>621</v>
      </c>
      <c r="D112" s="22" t="s">
        <v>44</v>
      </c>
      <c r="E112" s="20" t="s">
        <v>189</v>
      </c>
      <c r="F112" s="23">
        <f t="shared" si="22"/>
        <v>132.80755</v>
      </c>
      <c r="G112" s="20" t="s">
        <v>137</v>
      </c>
      <c r="H112" s="22" t="s">
        <v>192</v>
      </c>
      <c r="I112" s="20" t="s">
        <v>612</v>
      </c>
      <c r="J112" s="20" t="s">
        <v>44</v>
      </c>
      <c r="K112" s="20" t="s">
        <v>192</v>
      </c>
      <c r="L112" s="22">
        <v>4</v>
      </c>
      <c r="M112" s="23">
        <v>1.76</v>
      </c>
      <c r="N112" s="23">
        <f t="shared" si="23"/>
        <v>7.04</v>
      </c>
    </row>
    <row r="113" spans="1:14" ht="63.75">
      <c r="A113"/>
      <c r="B113" s="20" t="s">
        <v>123</v>
      </c>
      <c r="C113" s="21" t="s">
        <v>621</v>
      </c>
      <c r="D113" s="22" t="s">
        <v>44</v>
      </c>
      <c r="E113" s="20" t="s">
        <v>189</v>
      </c>
      <c r="F113" s="23">
        <f t="shared" si="22"/>
        <v>132.80755</v>
      </c>
      <c r="G113" s="20" t="s">
        <v>137</v>
      </c>
      <c r="H113" s="22"/>
      <c r="I113" s="20" t="s">
        <v>201</v>
      </c>
      <c r="J113" s="20" t="s">
        <v>44</v>
      </c>
      <c r="K113" s="20" t="s">
        <v>192</v>
      </c>
      <c r="L113" s="22">
        <v>16.8</v>
      </c>
      <c r="M113" s="23">
        <v>0.53</v>
      </c>
      <c r="N113" s="23">
        <f t="shared" si="23"/>
        <v>8.904000000000002</v>
      </c>
    </row>
    <row r="114" spans="1:14" ht="63.75">
      <c r="A114"/>
      <c r="B114" s="20" t="s">
        <v>123</v>
      </c>
      <c r="C114" s="21" t="s">
        <v>621</v>
      </c>
      <c r="D114" s="22" t="s">
        <v>44</v>
      </c>
      <c r="E114" s="20" t="s">
        <v>189</v>
      </c>
      <c r="F114" s="23">
        <f t="shared" si="22"/>
        <v>132.80755</v>
      </c>
      <c r="G114" s="20" t="s">
        <v>137</v>
      </c>
      <c r="H114" s="22"/>
      <c r="I114" s="20" t="s">
        <v>202</v>
      </c>
      <c r="J114" s="20" t="s">
        <v>44</v>
      </c>
      <c r="K114" s="20" t="s">
        <v>192</v>
      </c>
      <c r="L114" s="22">
        <v>16.8</v>
      </c>
      <c r="M114" s="23">
        <v>0.8</v>
      </c>
      <c r="N114" s="23">
        <f t="shared" si="23"/>
        <v>13.440000000000001</v>
      </c>
    </row>
    <row r="115" spans="1:14" ht="63.75">
      <c r="A115"/>
      <c r="B115" s="20" t="s">
        <v>123</v>
      </c>
      <c r="C115" s="21" t="s">
        <v>621</v>
      </c>
      <c r="D115" s="22" t="s">
        <v>44</v>
      </c>
      <c r="E115" s="20" t="s">
        <v>189</v>
      </c>
      <c r="F115" s="23">
        <f t="shared" si="22"/>
        <v>132.80755</v>
      </c>
      <c r="G115" s="20" t="s">
        <v>137</v>
      </c>
      <c r="H115" s="22"/>
      <c r="I115" s="20" t="s">
        <v>203</v>
      </c>
      <c r="J115" s="20" t="s">
        <v>44</v>
      </c>
      <c r="K115" s="20" t="s">
        <v>192</v>
      </c>
      <c r="L115" s="22">
        <v>16.8</v>
      </c>
      <c r="M115" s="23">
        <v>0.2</v>
      </c>
      <c r="N115" s="23">
        <f t="shared" si="23"/>
        <v>3.3600000000000003</v>
      </c>
    </row>
    <row r="116" spans="1:14" ht="63.75">
      <c r="A116"/>
      <c r="B116" s="20" t="s">
        <v>123</v>
      </c>
      <c r="C116" s="21" t="s">
        <v>621</v>
      </c>
      <c r="D116" s="22" t="s">
        <v>44</v>
      </c>
      <c r="E116" s="20" t="s">
        <v>189</v>
      </c>
      <c r="F116" s="23">
        <f t="shared" si="22"/>
        <v>132.80755</v>
      </c>
      <c r="G116" s="20" t="s">
        <v>108</v>
      </c>
      <c r="H116" s="22">
        <v>88247</v>
      </c>
      <c r="I116" s="20" t="s">
        <v>198</v>
      </c>
      <c r="J116" s="20" t="s">
        <v>135</v>
      </c>
      <c r="K116" s="20" t="s">
        <v>191</v>
      </c>
      <c r="L116" s="22">
        <v>0.527</v>
      </c>
      <c r="M116" s="22">
        <v>20.42</v>
      </c>
      <c r="N116" s="23">
        <f t="shared" si="23"/>
        <v>10.76134</v>
      </c>
    </row>
    <row r="117" spans="1:14" ht="63.75">
      <c r="A117"/>
      <c r="B117" s="20" t="s">
        <v>123</v>
      </c>
      <c r="C117" s="21" t="s">
        <v>621</v>
      </c>
      <c r="D117" s="22" t="s">
        <v>44</v>
      </c>
      <c r="E117" s="20" t="s">
        <v>189</v>
      </c>
      <c r="F117" s="23">
        <f t="shared" si="22"/>
        <v>132.80755</v>
      </c>
      <c r="G117" s="20" t="s">
        <v>108</v>
      </c>
      <c r="H117" s="22">
        <v>88264</v>
      </c>
      <c r="I117" s="20" t="s">
        <v>159</v>
      </c>
      <c r="J117" s="20" t="s">
        <v>135</v>
      </c>
      <c r="K117" s="20" t="s">
        <v>191</v>
      </c>
      <c r="L117" s="22">
        <v>0.527</v>
      </c>
      <c r="M117" s="22">
        <v>23.23</v>
      </c>
      <c r="N117" s="23">
        <f t="shared" si="23"/>
        <v>12.24221</v>
      </c>
    </row>
    <row r="118" spans="1:14" ht="15">
      <c r="A118"/>
      <c r="B118" s="25"/>
      <c r="C118" s="28"/>
      <c r="D118" s="25"/>
      <c r="E118" s="25"/>
      <c r="F118" s="25"/>
      <c r="G118" s="24"/>
      <c r="H118" s="25"/>
      <c r="I118" s="24"/>
      <c r="J118" s="26"/>
      <c r="K118" s="25"/>
      <c r="L118" s="26"/>
      <c r="M118" s="26"/>
      <c r="N118" s="23">
        <f>SUM(N111:N117)</f>
        <v>132.80755</v>
      </c>
    </row>
    <row r="119" spans="1:14" ht="15">
      <c r="A119"/>
      <c r="B119"/>
      <c r="C119"/>
      <c r="D119"/>
      <c r="E119"/>
      <c r="F119"/>
      <c r="G119"/>
      <c r="H119"/>
      <c r="I119"/>
      <c r="J119"/>
      <c r="K119"/>
      <c r="L119"/>
      <c r="M119"/>
      <c r="N119"/>
    </row>
    <row r="120" spans="1:14" ht="25.5">
      <c r="A120"/>
      <c r="B120" s="20" t="s">
        <v>125</v>
      </c>
      <c r="C120" s="21" t="s">
        <v>511</v>
      </c>
      <c r="D120" s="22" t="s">
        <v>44</v>
      </c>
      <c r="E120" s="20" t="s">
        <v>15</v>
      </c>
      <c r="F120" s="23">
        <f>N$125</f>
        <v>172.177395</v>
      </c>
      <c r="G120" s="24"/>
      <c r="H120" s="25"/>
      <c r="I120" s="24"/>
      <c r="J120" s="26"/>
      <c r="K120" s="25"/>
      <c r="L120" s="26"/>
      <c r="M120" s="26"/>
      <c r="N120" s="27"/>
    </row>
    <row r="121" spans="1:14" ht="38.25">
      <c r="A121"/>
      <c r="B121" s="20" t="s">
        <v>125</v>
      </c>
      <c r="C121" s="21" t="s">
        <v>511</v>
      </c>
      <c r="D121" s="22" t="s">
        <v>44</v>
      </c>
      <c r="E121" s="20" t="s">
        <v>15</v>
      </c>
      <c r="F121" s="23">
        <f>N$125</f>
        <v>172.177395</v>
      </c>
      <c r="G121" s="20" t="s">
        <v>137</v>
      </c>
      <c r="H121" s="22"/>
      <c r="I121" s="21" t="s">
        <v>623</v>
      </c>
      <c r="J121" s="20" t="s">
        <v>44</v>
      </c>
      <c r="K121" s="20" t="s">
        <v>15</v>
      </c>
      <c r="L121" s="22">
        <v>1</v>
      </c>
      <c r="M121" s="23">
        <v>161</v>
      </c>
      <c r="N121" s="23">
        <f>L121*M121</f>
        <v>161</v>
      </c>
    </row>
    <row r="122" spans="1:14" ht="63.75">
      <c r="A122"/>
      <c r="B122" s="20" t="s">
        <v>125</v>
      </c>
      <c r="C122" s="21" t="s">
        <v>511</v>
      </c>
      <c r="D122" s="22" t="s">
        <v>44</v>
      </c>
      <c r="E122" s="20" t="s">
        <v>15</v>
      </c>
      <c r="F122" s="23">
        <f>N$125</f>
        <v>172.177395</v>
      </c>
      <c r="G122" s="20" t="s">
        <v>137</v>
      </c>
      <c r="H122" s="22">
        <v>1573</v>
      </c>
      <c r="I122" s="21" t="s">
        <v>624</v>
      </c>
      <c r="J122" s="20" t="s">
        <v>44</v>
      </c>
      <c r="K122" s="20" t="s">
        <v>189</v>
      </c>
      <c r="L122" s="22">
        <v>2</v>
      </c>
      <c r="M122" s="23">
        <v>1.61</v>
      </c>
      <c r="N122" s="23">
        <f>L122*M122</f>
        <v>3.22</v>
      </c>
    </row>
    <row r="123" spans="1:14" ht="63.75">
      <c r="A123"/>
      <c r="B123" s="20" t="s">
        <v>125</v>
      </c>
      <c r="C123" s="21" t="s">
        <v>511</v>
      </c>
      <c r="D123" s="22" t="s">
        <v>44</v>
      </c>
      <c r="E123" s="20" t="s">
        <v>15</v>
      </c>
      <c r="F123" s="23">
        <f>N$125</f>
        <v>172.177395</v>
      </c>
      <c r="G123" s="20" t="s">
        <v>108</v>
      </c>
      <c r="H123" s="22">
        <v>88247</v>
      </c>
      <c r="I123" s="20" t="s">
        <v>190</v>
      </c>
      <c r="J123" s="20" t="s">
        <v>135</v>
      </c>
      <c r="K123" s="20" t="s">
        <v>189</v>
      </c>
      <c r="L123" s="22">
        <v>0.1823</v>
      </c>
      <c r="M123" s="22">
        <v>20.42</v>
      </c>
      <c r="N123" s="23">
        <f>L123*M123</f>
        <v>3.722566</v>
      </c>
    </row>
    <row r="124" spans="1:14" ht="25.5">
      <c r="A124"/>
      <c r="B124" s="20" t="s">
        <v>125</v>
      </c>
      <c r="C124" s="21" t="s">
        <v>511</v>
      </c>
      <c r="D124" s="22" t="s">
        <v>44</v>
      </c>
      <c r="E124" s="20" t="s">
        <v>15</v>
      </c>
      <c r="F124" s="23">
        <f>N$125</f>
        <v>172.177395</v>
      </c>
      <c r="G124" s="20" t="s">
        <v>108</v>
      </c>
      <c r="H124" s="22">
        <v>88264</v>
      </c>
      <c r="I124" s="20" t="s">
        <v>159</v>
      </c>
      <c r="J124" s="20" t="s">
        <v>135</v>
      </c>
      <c r="K124" s="20" t="s">
        <v>191</v>
      </c>
      <c r="L124" s="22">
        <v>0.1823</v>
      </c>
      <c r="M124" s="22">
        <v>23.23</v>
      </c>
      <c r="N124" s="23">
        <f>L124*M124</f>
        <v>4.2348289999999995</v>
      </c>
    </row>
    <row r="125" spans="1:14" ht="15">
      <c r="A125"/>
      <c r="B125" s="25"/>
      <c r="C125" s="28"/>
      <c r="D125" s="25"/>
      <c r="E125" s="25"/>
      <c r="F125" s="25"/>
      <c r="G125" s="24"/>
      <c r="H125" s="25"/>
      <c r="I125" s="24"/>
      <c r="J125" s="26"/>
      <c r="K125" s="25"/>
      <c r="L125" s="26"/>
      <c r="M125" s="26"/>
      <c r="N125" s="23">
        <f>SUM(N121:N124)</f>
        <v>172.177395</v>
      </c>
    </row>
    <row r="126" spans="1:14" ht="15">
      <c r="A126"/>
      <c r="B126"/>
      <c r="C126"/>
      <c r="D126"/>
      <c r="E126"/>
      <c r="F126"/>
      <c r="G126"/>
      <c r="H126"/>
      <c r="I126"/>
      <c r="J126"/>
      <c r="K126"/>
      <c r="L126"/>
      <c r="M126"/>
      <c r="N126"/>
    </row>
    <row r="127" spans="1:14" ht="25.5">
      <c r="A127"/>
      <c r="B127" s="20" t="s">
        <v>127</v>
      </c>
      <c r="C127" s="21" t="s">
        <v>512</v>
      </c>
      <c r="D127" s="22" t="s">
        <v>44</v>
      </c>
      <c r="E127" s="20" t="s">
        <v>15</v>
      </c>
      <c r="F127" s="23">
        <f>N$132</f>
        <v>186.787395</v>
      </c>
      <c r="G127" s="24"/>
      <c r="H127" s="25"/>
      <c r="I127" s="24"/>
      <c r="J127" s="26"/>
      <c r="K127" s="25"/>
      <c r="L127" s="26"/>
      <c r="M127" s="26"/>
      <c r="N127" s="27"/>
    </row>
    <row r="128" spans="1:14" ht="38.25">
      <c r="A128"/>
      <c r="B128" s="20" t="s">
        <v>127</v>
      </c>
      <c r="C128" s="21" t="s">
        <v>512</v>
      </c>
      <c r="D128" s="22" t="s">
        <v>44</v>
      </c>
      <c r="E128" s="20" t="s">
        <v>15</v>
      </c>
      <c r="F128" s="23">
        <f>N$132</f>
        <v>186.787395</v>
      </c>
      <c r="G128" s="20" t="s">
        <v>137</v>
      </c>
      <c r="H128" s="22"/>
      <c r="I128" s="21" t="s">
        <v>625</v>
      </c>
      <c r="J128" s="20" t="s">
        <v>44</v>
      </c>
      <c r="K128" s="20" t="s">
        <v>15</v>
      </c>
      <c r="L128" s="22">
        <v>1</v>
      </c>
      <c r="M128" s="23">
        <v>175.61</v>
      </c>
      <c r="N128" s="23">
        <f>L128*M128</f>
        <v>175.61</v>
      </c>
    </row>
    <row r="129" spans="1:14" ht="63.75">
      <c r="A129"/>
      <c r="B129" s="20" t="s">
        <v>127</v>
      </c>
      <c r="C129" s="21" t="s">
        <v>512</v>
      </c>
      <c r="D129" s="22" t="s">
        <v>44</v>
      </c>
      <c r="E129" s="20" t="s">
        <v>15</v>
      </c>
      <c r="F129" s="23">
        <f>N$132</f>
        <v>186.787395</v>
      </c>
      <c r="G129" s="20" t="s">
        <v>137</v>
      </c>
      <c r="H129" s="22">
        <v>1573</v>
      </c>
      <c r="I129" s="21" t="s">
        <v>624</v>
      </c>
      <c r="J129" s="20" t="s">
        <v>44</v>
      </c>
      <c r="K129" s="20" t="s">
        <v>189</v>
      </c>
      <c r="L129" s="22">
        <v>2</v>
      </c>
      <c r="M129" s="23">
        <v>1.61</v>
      </c>
      <c r="N129" s="23">
        <f>L129*M129</f>
        <v>3.22</v>
      </c>
    </row>
    <row r="130" spans="1:14" ht="63.75">
      <c r="A130"/>
      <c r="B130" s="20" t="s">
        <v>127</v>
      </c>
      <c r="C130" s="21" t="s">
        <v>512</v>
      </c>
      <c r="D130" s="22" t="s">
        <v>44</v>
      </c>
      <c r="E130" s="20" t="s">
        <v>15</v>
      </c>
      <c r="F130" s="23">
        <f>N$132</f>
        <v>186.787395</v>
      </c>
      <c r="G130" s="20" t="s">
        <v>108</v>
      </c>
      <c r="H130" s="22">
        <v>88247</v>
      </c>
      <c r="I130" s="20" t="s">
        <v>190</v>
      </c>
      <c r="J130" s="20" t="s">
        <v>135</v>
      </c>
      <c r="K130" s="20" t="s">
        <v>189</v>
      </c>
      <c r="L130" s="22">
        <v>0.1823</v>
      </c>
      <c r="M130" s="22">
        <v>20.42</v>
      </c>
      <c r="N130" s="23">
        <f>L130*M130</f>
        <v>3.722566</v>
      </c>
    </row>
    <row r="131" spans="1:14" ht="25.5">
      <c r="A131"/>
      <c r="B131" s="20" t="s">
        <v>127</v>
      </c>
      <c r="C131" s="21" t="s">
        <v>512</v>
      </c>
      <c r="D131" s="22" t="s">
        <v>44</v>
      </c>
      <c r="E131" s="20" t="s">
        <v>15</v>
      </c>
      <c r="F131" s="23">
        <f>N$132</f>
        <v>186.787395</v>
      </c>
      <c r="G131" s="20" t="s">
        <v>108</v>
      </c>
      <c r="H131" s="22">
        <v>88264</v>
      </c>
      <c r="I131" s="20" t="s">
        <v>159</v>
      </c>
      <c r="J131" s="20" t="s">
        <v>135</v>
      </c>
      <c r="K131" s="20" t="s">
        <v>191</v>
      </c>
      <c r="L131" s="22">
        <v>0.1823</v>
      </c>
      <c r="M131" s="22">
        <v>23.23</v>
      </c>
      <c r="N131" s="23">
        <f>L131*M131</f>
        <v>4.2348289999999995</v>
      </c>
    </row>
    <row r="132" spans="1:14" ht="15">
      <c r="A132"/>
      <c r="B132" s="25"/>
      <c r="C132" s="28"/>
      <c r="D132" s="25"/>
      <c r="E132" s="25"/>
      <c r="F132" s="25"/>
      <c r="G132" s="24"/>
      <c r="H132" s="25"/>
      <c r="I132" s="24"/>
      <c r="J132" s="26"/>
      <c r="K132" s="25"/>
      <c r="L132" s="26"/>
      <c r="M132" s="26"/>
      <c r="N132" s="23">
        <f>SUM(N128:N131)</f>
        <v>186.787395</v>
      </c>
    </row>
    <row r="133" spans="1:14" ht="15">
      <c r="A133"/>
      <c r="B133"/>
      <c r="C133"/>
      <c r="D133"/>
      <c r="E133"/>
      <c r="F133"/>
      <c r="G133"/>
      <c r="H133"/>
      <c r="I133"/>
      <c r="J133"/>
      <c r="K133"/>
      <c r="L133"/>
      <c r="M133"/>
      <c r="N133"/>
    </row>
    <row r="134" spans="1:14" ht="63.75">
      <c r="A134"/>
      <c r="B134" s="20" t="s">
        <v>519</v>
      </c>
      <c r="C134" s="21" t="s">
        <v>520</v>
      </c>
      <c r="D134" s="22" t="s">
        <v>44</v>
      </c>
      <c r="E134" s="20" t="s">
        <v>15</v>
      </c>
      <c r="F134" s="23">
        <f>N$139</f>
        <v>273.86113299999994</v>
      </c>
      <c r="G134" s="24"/>
      <c r="H134" s="25"/>
      <c r="I134" s="24"/>
      <c r="J134" s="26"/>
      <c r="K134" s="25"/>
      <c r="L134" s="26"/>
      <c r="M134" s="26"/>
      <c r="N134" s="27"/>
    </row>
    <row r="135" spans="1:14" ht="63.75">
      <c r="A135"/>
      <c r="B135" s="20" t="s">
        <v>519</v>
      </c>
      <c r="C135" s="21" t="s">
        <v>520</v>
      </c>
      <c r="D135" s="22" t="s">
        <v>44</v>
      </c>
      <c r="E135" s="20" t="s">
        <v>15</v>
      </c>
      <c r="F135" s="23">
        <f>N$139</f>
        <v>273.86113299999994</v>
      </c>
      <c r="G135" s="20" t="s">
        <v>137</v>
      </c>
      <c r="H135" s="22" t="s">
        <v>192</v>
      </c>
      <c r="I135" s="21" t="s">
        <v>204</v>
      </c>
      <c r="J135" s="20" t="s">
        <v>44</v>
      </c>
      <c r="K135" s="20" t="s">
        <v>15</v>
      </c>
      <c r="L135" s="22">
        <v>1</v>
      </c>
      <c r="M135" s="23">
        <v>240.35</v>
      </c>
      <c r="N135" s="23">
        <f>L135*M135</f>
        <v>240.35</v>
      </c>
    </row>
    <row r="136" spans="1:14" ht="63.75">
      <c r="A136"/>
      <c r="B136" s="20" t="s">
        <v>519</v>
      </c>
      <c r="C136" s="21" t="s">
        <v>520</v>
      </c>
      <c r="D136" s="22" t="s">
        <v>44</v>
      </c>
      <c r="E136" s="20" t="s">
        <v>15</v>
      </c>
      <c r="F136" s="23">
        <f>N$139</f>
        <v>273.86113299999994</v>
      </c>
      <c r="G136" s="20" t="s">
        <v>137</v>
      </c>
      <c r="H136" s="22">
        <v>39386</v>
      </c>
      <c r="I136" s="21" t="s">
        <v>205</v>
      </c>
      <c r="J136" s="20" t="s">
        <v>44</v>
      </c>
      <c r="K136" s="20" t="s">
        <v>189</v>
      </c>
      <c r="L136" s="22">
        <v>2</v>
      </c>
      <c r="M136" s="23">
        <v>11.12</v>
      </c>
      <c r="N136" s="23">
        <f>L136*M136</f>
        <v>22.24</v>
      </c>
    </row>
    <row r="137" spans="1:14" ht="63.75">
      <c r="A137"/>
      <c r="B137" s="20" t="s">
        <v>519</v>
      </c>
      <c r="C137" s="21" t="s">
        <v>520</v>
      </c>
      <c r="D137" s="22" t="s">
        <v>44</v>
      </c>
      <c r="E137" s="20" t="s">
        <v>15</v>
      </c>
      <c r="F137" s="23">
        <f>N$139</f>
        <v>273.86113299999994</v>
      </c>
      <c r="G137" s="20" t="s">
        <v>108</v>
      </c>
      <c r="H137" s="22">
        <v>88247</v>
      </c>
      <c r="I137" s="20" t="s">
        <v>190</v>
      </c>
      <c r="J137" s="20" t="s">
        <v>135</v>
      </c>
      <c r="K137" s="20" t="s">
        <v>189</v>
      </c>
      <c r="L137" s="22">
        <v>0.148</v>
      </c>
      <c r="M137" s="22">
        <v>20.42</v>
      </c>
      <c r="N137" s="23">
        <f>L137*M137</f>
        <v>3.02216</v>
      </c>
    </row>
    <row r="138" spans="1:14" ht="63.75">
      <c r="A138"/>
      <c r="B138" s="20" t="s">
        <v>519</v>
      </c>
      <c r="C138" s="21" t="s">
        <v>520</v>
      </c>
      <c r="D138" s="22" t="s">
        <v>44</v>
      </c>
      <c r="E138" s="20" t="s">
        <v>15</v>
      </c>
      <c r="F138" s="23">
        <f>N$139</f>
        <v>273.86113299999994</v>
      </c>
      <c r="G138" s="20" t="s">
        <v>108</v>
      </c>
      <c r="H138" s="22">
        <v>88264</v>
      </c>
      <c r="I138" s="20" t="s">
        <v>159</v>
      </c>
      <c r="J138" s="20" t="s">
        <v>135</v>
      </c>
      <c r="K138" s="20" t="s">
        <v>191</v>
      </c>
      <c r="L138" s="22">
        <v>0.3551</v>
      </c>
      <c r="M138" s="22">
        <v>23.23</v>
      </c>
      <c r="N138" s="23">
        <f>L138*M138</f>
        <v>8.248973000000001</v>
      </c>
    </row>
    <row r="139" spans="1:14" ht="15">
      <c r="A139"/>
      <c r="B139" s="25"/>
      <c r="C139" s="28"/>
      <c r="D139" s="25"/>
      <c r="E139" s="25"/>
      <c r="F139" s="25"/>
      <c r="G139" s="24"/>
      <c r="H139" s="25"/>
      <c r="I139" s="24"/>
      <c r="J139" s="26"/>
      <c r="K139" s="25"/>
      <c r="L139" s="26"/>
      <c r="M139" s="26"/>
      <c r="N139" s="23">
        <f>SUM(N135:N138)</f>
        <v>273.86113299999994</v>
      </c>
    </row>
    <row r="140" spans="1:14" ht="15">
      <c r="A140"/>
      <c r="B140"/>
      <c r="C140"/>
      <c r="D140"/>
      <c r="E140"/>
      <c r="F140"/>
      <c r="G140"/>
      <c r="H140"/>
      <c r="I140"/>
      <c r="J140"/>
      <c r="K140"/>
      <c r="L140"/>
      <c r="M140"/>
      <c r="N140"/>
    </row>
    <row r="141" spans="1:14" ht="25.5">
      <c r="A141"/>
      <c r="B141" s="20" t="s">
        <v>128</v>
      </c>
      <c r="C141" s="21" t="s">
        <v>522</v>
      </c>
      <c r="D141" s="22" t="s">
        <v>44</v>
      </c>
      <c r="E141" s="20" t="s">
        <v>15</v>
      </c>
      <c r="F141" s="23">
        <f>N$145</f>
        <v>80.15775000000001</v>
      </c>
      <c r="G141" s="24"/>
      <c r="H141" s="25"/>
      <c r="I141" s="24"/>
      <c r="J141" s="26"/>
      <c r="K141" s="25"/>
      <c r="L141" s="26"/>
      <c r="M141" s="26"/>
      <c r="N141" s="27"/>
    </row>
    <row r="142" spans="1:14" ht="25.5">
      <c r="A142"/>
      <c r="B142" s="20" t="s">
        <v>128</v>
      </c>
      <c r="C142" s="21" t="s">
        <v>522</v>
      </c>
      <c r="D142" s="22" t="s">
        <v>44</v>
      </c>
      <c r="E142" s="20" t="s">
        <v>15</v>
      </c>
      <c r="F142" s="23">
        <f>N$145</f>
        <v>80.15775000000001</v>
      </c>
      <c r="G142" s="20" t="s">
        <v>137</v>
      </c>
      <c r="H142" s="22"/>
      <c r="I142" s="21" t="s">
        <v>522</v>
      </c>
      <c r="J142" s="20" t="s">
        <v>44</v>
      </c>
      <c r="K142" s="20" t="s">
        <v>15</v>
      </c>
      <c r="L142" s="22">
        <v>1</v>
      </c>
      <c r="M142" s="23">
        <v>69.9</v>
      </c>
      <c r="N142" s="23">
        <f>L142*M142</f>
        <v>69.9</v>
      </c>
    </row>
    <row r="143" spans="1:14" ht="63.75">
      <c r="A143"/>
      <c r="B143" s="20" t="s">
        <v>128</v>
      </c>
      <c r="C143" s="21" t="s">
        <v>522</v>
      </c>
      <c r="D143" s="22" t="s">
        <v>44</v>
      </c>
      <c r="E143" s="20" t="s">
        <v>15</v>
      </c>
      <c r="F143" s="23">
        <f>N$145</f>
        <v>80.15775000000001</v>
      </c>
      <c r="G143" s="20" t="s">
        <v>108</v>
      </c>
      <c r="H143" s="22">
        <v>88247</v>
      </c>
      <c r="I143" s="20" t="s">
        <v>190</v>
      </c>
      <c r="J143" s="20" t="s">
        <v>135</v>
      </c>
      <c r="K143" s="20" t="s">
        <v>189</v>
      </c>
      <c r="L143" s="22">
        <v>0.235</v>
      </c>
      <c r="M143" s="22">
        <v>20.42</v>
      </c>
      <c r="N143" s="23">
        <f>L143*M143</f>
        <v>4.7987</v>
      </c>
    </row>
    <row r="144" spans="1:14" ht="25.5">
      <c r="A144"/>
      <c r="B144" s="20" t="s">
        <v>128</v>
      </c>
      <c r="C144" s="21" t="s">
        <v>522</v>
      </c>
      <c r="D144" s="22" t="s">
        <v>44</v>
      </c>
      <c r="E144" s="20" t="s">
        <v>15</v>
      </c>
      <c r="F144" s="23">
        <f>N$145</f>
        <v>80.15775000000001</v>
      </c>
      <c r="G144" s="20" t="s">
        <v>108</v>
      </c>
      <c r="H144" s="22">
        <v>88264</v>
      </c>
      <c r="I144" s="20" t="s">
        <v>159</v>
      </c>
      <c r="J144" s="20" t="s">
        <v>135</v>
      </c>
      <c r="K144" s="20" t="s">
        <v>191</v>
      </c>
      <c r="L144" s="22">
        <v>0.235</v>
      </c>
      <c r="M144" s="22">
        <v>23.23</v>
      </c>
      <c r="N144" s="23">
        <f>L144*M144</f>
        <v>5.4590499999999995</v>
      </c>
    </row>
    <row r="145" spans="1:14" ht="15">
      <c r="A145"/>
      <c r="B145" s="25"/>
      <c r="C145" s="28"/>
      <c r="D145" s="25"/>
      <c r="E145" s="25"/>
      <c r="F145" s="25"/>
      <c r="G145" s="24"/>
      <c r="H145" s="25"/>
      <c r="I145" s="24"/>
      <c r="J145" s="26"/>
      <c r="K145" s="25"/>
      <c r="L145" s="26"/>
      <c r="M145" s="26"/>
      <c r="N145" s="23">
        <f>SUM(N142:N144)</f>
        <v>80.15775000000001</v>
      </c>
    </row>
    <row r="146" spans="1:14" ht="15">
      <c r="A146"/>
      <c r="B146"/>
      <c r="C146"/>
      <c r="D146"/>
      <c r="E146"/>
      <c r="F146"/>
      <c r="G146"/>
      <c r="H146"/>
      <c r="I146"/>
      <c r="J146"/>
      <c r="K146"/>
      <c r="L146"/>
      <c r="M146"/>
      <c r="N146"/>
    </row>
    <row r="147" spans="1:14" ht="25.5">
      <c r="A147"/>
      <c r="B147" s="20" t="s">
        <v>129</v>
      </c>
      <c r="C147" s="21" t="s">
        <v>130</v>
      </c>
      <c r="D147" s="22" t="s">
        <v>44</v>
      </c>
      <c r="E147" s="20" t="s">
        <v>15</v>
      </c>
      <c r="F147" s="23">
        <f>N$151</f>
        <v>510.000535</v>
      </c>
      <c r="G147" s="24"/>
      <c r="H147" s="25"/>
      <c r="I147" s="24"/>
      <c r="J147" s="26"/>
      <c r="K147" s="25"/>
      <c r="L147" s="26"/>
      <c r="M147" s="26"/>
      <c r="N147" s="27"/>
    </row>
    <row r="148" spans="1:14" ht="25.5">
      <c r="A148"/>
      <c r="B148" s="20" t="s">
        <v>129</v>
      </c>
      <c r="C148" s="21" t="s">
        <v>130</v>
      </c>
      <c r="D148" s="22" t="s">
        <v>44</v>
      </c>
      <c r="E148" s="20" t="s">
        <v>15</v>
      </c>
      <c r="F148" s="23">
        <f>N$151</f>
        <v>510.000535</v>
      </c>
      <c r="G148" s="20" t="s">
        <v>137</v>
      </c>
      <c r="H148" s="22"/>
      <c r="I148" s="184" t="s">
        <v>209</v>
      </c>
      <c r="J148" s="20" t="s">
        <v>44</v>
      </c>
      <c r="K148" s="20" t="s">
        <v>15</v>
      </c>
      <c r="L148" s="22">
        <v>1</v>
      </c>
      <c r="M148" s="23">
        <v>465.22</v>
      </c>
      <c r="N148" s="23">
        <f>L148*M148</f>
        <v>465.22</v>
      </c>
    </row>
    <row r="149" spans="1:14" ht="63.75">
      <c r="A149"/>
      <c r="B149" s="20" t="s">
        <v>129</v>
      </c>
      <c r="C149" s="21" t="s">
        <v>130</v>
      </c>
      <c r="D149" s="22" t="s">
        <v>44</v>
      </c>
      <c r="E149" s="20" t="s">
        <v>15</v>
      </c>
      <c r="F149" s="23">
        <f>N$151</f>
        <v>510.000535</v>
      </c>
      <c r="G149" s="20" t="s">
        <v>108</v>
      </c>
      <c r="H149" s="22">
        <v>88247</v>
      </c>
      <c r="I149" s="20" t="s">
        <v>190</v>
      </c>
      <c r="J149" s="20" t="s">
        <v>135</v>
      </c>
      <c r="K149" s="20" t="s">
        <v>189</v>
      </c>
      <c r="L149" s="22">
        <v>1.0259</v>
      </c>
      <c r="M149" s="22">
        <v>20.42</v>
      </c>
      <c r="N149" s="23">
        <f>L149*M149</f>
        <v>20.948878000000004</v>
      </c>
    </row>
    <row r="150" spans="1:14" ht="25.5">
      <c r="A150"/>
      <c r="B150" s="20" t="s">
        <v>129</v>
      </c>
      <c r="C150" s="21" t="s">
        <v>130</v>
      </c>
      <c r="D150" s="22" t="s">
        <v>44</v>
      </c>
      <c r="E150" s="20" t="s">
        <v>15</v>
      </c>
      <c r="F150" s="23">
        <f>N$151</f>
        <v>510.000535</v>
      </c>
      <c r="G150" s="20" t="s">
        <v>108</v>
      </c>
      <c r="H150" s="22">
        <v>88264</v>
      </c>
      <c r="I150" s="20" t="s">
        <v>159</v>
      </c>
      <c r="J150" s="20" t="s">
        <v>135</v>
      </c>
      <c r="K150" s="20" t="s">
        <v>191</v>
      </c>
      <c r="L150" s="22">
        <v>1.0259</v>
      </c>
      <c r="M150" s="22">
        <v>23.23</v>
      </c>
      <c r="N150" s="23">
        <f>L150*M150</f>
        <v>23.831657</v>
      </c>
    </row>
    <row r="151" spans="1:14" ht="15">
      <c r="A151"/>
      <c r="B151" s="25"/>
      <c r="C151" s="28"/>
      <c r="D151" s="25"/>
      <c r="E151" s="25"/>
      <c r="F151" s="25"/>
      <c r="G151" s="24"/>
      <c r="H151" s="25"/>
      <c r="I151" s="24"/>
      <c r="J151" s="26"/>
      <c r="K151" s="25"/>
      <c r="L151" s="26"/>
      <c r="M151" s="26"/>
      <c r="N151" s="23">
        <f>SUM(N148:N150)</f>
        <v>510.000535</v>
      </c>
    </row>
    <row r="152" ht="15">
      <c r="A152"/>
    </row>
    <row r="153" spans="1:14" ht="25.5">
      <c r="A153"/>
      <c r="B153" s="20" t="s">
        <v>131</v>
      </c>
      <c r="C153" s="21" t="s">
        <v>132</v>
      </c>
      <c r="D153" s="22" t="s">
        <v>33</v>
      </c>
      <c r="E153" s="20" t="s">
        <v>15</v>
      </c>
      <c r="F153" s="23">
        <f>N$157</f>
        <v>10.826250000000002</v>
      </c>
      <c r="G153" s="24"/>
      <c r="H153" s="25"/>
      <c r="I153" s="24"/>
      <c r="J153" s="26"/>
      <c r="K153" s="25"/>
      <c r="L153" s="26"/>
      <c r="M153" s="26"/>
      <c r="N153" s="27"/>
    </row>
    <row r="154" spans="1:14" ht="25.5">
      <c r="A154"/>
      <c r="B154" s="20" t="s">
        <v>131</v>
      </c>
      <c r="C154" s="21" t="s">
        <v>132</v>
      </c>
      <c r="D154" s="22" t="s">
        <v>33</v>
      </c>
      <c r="E154" s="20" t="s">
        <v>15</v>
      </c>
      <c r="F154" s="23">
        <f>N$157</f>
        <v>10.826250000000002</v>
      </c>
      <c r="G154" s="20" t="s">
        <v>137</v>
      </c>
      <c r="H154" s="22"/>
      <c r="I154" s="184" t="s">
        <v>210</v>
      </c>
      <c r="J154" s="20" t="s">
        <v>44</v>
      </c>
      <c r="K154" s="20" t="s">
        <v>15</v>
      </c>
      <c r="L154" s="22">
        <v>1.05</v>
      </c>
      <c r="M154" s="23">
        <v>8.44</v>
      </c>
      <c r="N154" s="23">
        <f>L154*M154</f>
        <v>8.862</v>
      </c>
    </row>
    <row r="155" spans="1:14" ht="63.75">
      <c r="A155"/>
      <c r="B155" s="20" t="s">
        <v>131</v>
      </c>
      <c r="C155" s="21" t="s">
        <v>132</v>
      </c>
      <c r="D155" s="22" t="s">
        <v>33</v>
      </c>
      <c r="E155" s="20" t="s">
        <v>15</v>
      </c>
      <c r="F155" s="23">
        <f>N$157</f>
        <v>10.826250000000002</v>
      </c>
      <c r="G155" s="20" t="s">
        <v>108</v>
      </c>
      <c r="H155" s="22">
        <v>88247</v>
      </c>
      <c r="I155" s="20" t="s">
        <v>190</v>
      </c>
      <c r="J155" s="20" t="s">
        <v>135</v>
      </c>
      <c r="K155" s="20" t="s">
        <v>189</v>
      </c>
      <c r="L155" s="22">
        <v>0.045</v>
      </c>
      <c r="M155" s="22">
        <v>20.42</v>
      </c>
      <c r="N155" s="23">
        <f>L155*M155</f>
        <v>0.9189</v>
      </c>
    </row>
    <row r="156" spans="1:14" ht="25.5">
      <c r="A156"/>
      <c r="B156" s="20" t="s">
        <v>131</v>
      </c>
      <c r="C156" s="21" t="s">
        <v>132</v>
      </c>
      <c r="D156" s="22" t="s">
        <v>33</v>
      </c>
      <c r="E156" s="20" t="s">
        <v>15</v>
      </c>
      <c r="F156" s="23">
        <f>N$157</f>
        <v>10.826250000000002</v>
      </c>
      <c r="G156" s="20" t="s">
        <v>108</v>
      </c>
      <c r="H156" s="22">
        <v>88264</v>
      </c>
      <c r="I156" s="20" t="s">
        <v>159</v>
      </c>
      <c r="J156" s="20" t="s">
        <v>135</v>
      </c>
      <c r="K156" s="20" t="s">
        <v>191</v>
      </c>
      <c r="L156" s="22">
        <v>0.045</v>
      </c>
      <c r="M156" s="22">
        <v>23.23</v>
      </c>
      <c r="N156" s="23">
        <f>L156*M156</f>
        <v>1.04535</v>
      </c>
    </row>
    <row r="157" spans="1:14" ht="15">
      <c r="A157"/>
      <c r="B157" s="25"/>
      <c r="C157" s="28"/>
      <c r="D157" s="25"/>
      <c r="E157" s="25"/>
      <c r="F157" s="25"/>
      <c r="G157" s="24"/>
      <c r="H157" s="25"/>
      <c r="I157" s="24"/>
      <c r="J157" s="26"/>
      <c r="K157" s="25"/>
      <c r="L157" s="26"/>
      <c r="M157" s="26"/>
      <c r="N157" s="23">
        <f>SUM(N154:N156)</f>
        <v>10.826250000000002</v>
      </c>
    </row>
    <row r="158" ht="15">
      <c r="A158"/>
    </row>
    <row r="159" spans="1:14" ht="25.5">
      <c r="A159"/>
      <c r="B159" s="20" t="s">
        <v>133</v>
      </c>
      <c r="C159" s="185" t="s">
        <v>134</v>
      </c>
      <c r="D159" s="22" t="s">
        <v>80</v>
      </c>
      <c r="E159" s="20" t="s">
        <v>15</v>
      </c>
      <c r="F159" s="23">
        <f>N$162</f>
        <v>109.125</v>
      </c>
      <c r="G159" s="24"/>
      <c r="H159" s="25"/>
      <c r="I159" s="24"/>
      <c r="J159" s="26"/>
      <c r="K159" s="25"/>
      <c r="L159" s="26"/>
      <c r="M159" s="26"/>
      <c r="N159" s="27"/>
    </row>
    <row r="160" spans="1:14" ht="63.75">
      <c r="A160"/>
      <c r="B160" s="20" t="s">
        <v>133</v>
      </c>
      <c r="C160" s="185" t="s">
        <v>134</v>
      </c>
      <c r="D160" s="22" t="s">
        <v>80</v>
      </c>
      <c r="E160" s="20" t="s">
        <v>15</v>
      </c>
      <c r="F160" s="23">
        <f>N$162</f>
        <v>109.125</v>
      </c>
      <c r="G160" s="20" t="s">
        <v>108</v>
      </c>
      <c r="H160" s="22">
        <v>88247</v>
      </c>
      <c r="I160" s="20" t="s">
        <v>190</v>
      </c>
      <c r="J160" s="20" t="s">
        <v>135</v>
      </c>
      <c r="K160" s="20" t="s">
        <v>189</v>
      </c>
      <c r="L160" s="22">
        <v>2.5</v>
      </c>
      <c r="M160" s="22">
        <v>20.42</v>
      </c>
      <c r="N160" s="23">
        <f>L160*M160</f>
        <v>51.050000000000004</v>
      </c>
    </row>
    <row r="161" spans="1:14" ht="25.5">
      <c r="A161"/>
      <c r="B161" s="20" t="s">
        <v>133</v>
      </c>
      <c r="C161" s="185" t="s">
        <v>134</v>
      </c>
      <c r="D161" s="22" t="s">
        <v>80</v>
      </c>
      <c r="E161" s="20" t="s">
        <v>15</v>
      </c>
      <c r="F161" s="23">
        <f>N$162</f>
        <v>109.125</v>
      </c>
      <c r="G161" s="20" t="s">
        <v>108</v>
      </c>
      <c r="H161" s="22">
        <v>88264</v>
      </c>
      <c r="I161" s="20" t="s">
        <v>159</v>
      </c>
      <c r="J161" s="20" t="s">
        <v>135</v>
      </c>
      <c r="K161" s="20" t="s">
        <v>191</v>
      </c>
      <c r="L161" s="22">
        <v>2.5</v>
      </c>
      <c r="M161" s="22">
        <v>23.23</v>
      </c>
      <c r="N161" s="23">
        <f>L161*M161</f>
        <v>58.075</v>
      </c>
    </row>
    <row r="162" spans="1:14" ht="15">
      <c r="A162"/>
      <c r="B162" s="25"/>
      <c r="C162" s="28"/>
      <c r="D162" s="25"/>
      <c r="E162" s="25"/>
      <c r="F162" s="25"/>
      <c r="G162" s="24"/>
      <c r="H162" s="25"/>
      <c r="I162" s="24"/>
      <c r="J162" s="26"/>
      <c r="K162" s="25"/>
      <c r="L162" s="26"/>
      <c r="M162" s="26"/>
      <c r="N162" s="23">
        <f>SUM(N160:N161)</f>
        <v>109.125</v>
      </c>
    </row>
    <row r="163" spans="1:14" ht="15">
      <c r="A163"/>
      <c r="B163"/>
      <c r="C163"/>
      <c r="D163"/>
      <c r="E163"/>
      <c r="F163"/>
      <c r="G163"/>
      <c r="H163"/>
      <c r="I163"/>
      <c r="J163"/>
      <c r="K163"/>
      <c r="L163"/>
      <c r="M163"/>
      <c r="N163"/>
    </row>
    <row r="164" spans="1:14" ht="76.5">
      <c r="A164"/>
      <c r="B164" s="20" t="s">
        <v>526</v>
      </c>
      <c r="C164" s="21" t="s">
        <v>626</v>
      </c>
      <c r="D164" s="22" t="s">
        <v>44</v>
      </c>
      <c r="E164" s="20" t="s">
        <v>189</v>
      </c>
      <c r="F164" s="23">
        <f aca="true" t="shared" si="24" ref="F164:F171">N$172</f>
        <v>93.64755000000001</v>
      </c>
      <c r="G164" s="24"/>
      <c r="H164" s="25"/>
      <c r="I164" s="24"/>
      <c r="J164" s="26"/>
      <c r="K164" s="25"/>
      <c r="L164" s="26"/>
      <c r="M164" s="26"/>
      <c r="N164" s="27"/>
    </row>
    <row r="165" spans="1:14" ht="76.5">
      <c r="A165"/>
      <c r="B165" s="20" t="s">
        <v>526</v>
      </c>
      <c r="C165" s="21" t="s">
        <v>626</v>
      </c>
      <c r="D165" s="22" t="s">
        <v>44</v>
      </c>
      <c r="E165" s="20" t="s">
        <v>189</v>
      </c>
      <c r="F165" s="23">
        <f t="shared" si="24"/>
        <v>93.64755000000001</v>
      </c>
      <c r="G165" s="20" t="s">
        <v>137</v>
      </c>
      <c r="H165" s="22" t="s">
        <v>192</v>
      </c>
      <c r="I165" s="20" t="s">
        <v>208</v>
      </c>
      <c r="J165" s="20" t="s">
        <v>44</v>
      </c>
      <c r="K165" s="20" t="s">
        <v>192</v>
      </c>
      <c r="L165" s="22">
        <v>1</v>
      </c>
      <c r="M165" s="23">
        <v>37.9</v>
      </c>
      <c r="N165" s="23">
        <f aca="true" t="shared" si="25" ref="N165:N171">L165*M165</f>
        <v>37.9</v>
      </c>
    </row>
    <row r="166" spans="1:14" ht="76.5">
      <c r="A166"/>
      <c r="B166" s="20" t="s">
        <v>526</v>
      </c>
      <c r="C166" s="21" t="s">
        <v>626</v>
      </c>
      <c r="D166" s="22" t="s">
        <v>44</v>
      </c>
      <c r="E166" s="20" t="s">
        <v>189</v>
      </c>
      <c r="F166" s="23">
        <f t="shared" si="24"/>
        <v>93.64755000000001</v>
      </c>
      <c r="G166" s="20" t="s">
        <v>137</v>
      </c>
      <c r="H166" s="22" t="s">
        <v>192</v>
      </c>
      <c r="I166" s="20" t="s">
        <v>612</v>
      </c>
      <c r="J166" s="20" t="s">
        <v>44</v>
      </c>
      <c r="K166" s="20" t="s">
        <v>192</v>
      </c>
      <c r="L166" s="22">
        <v>4</v>
      </c>
      <c r="M166" s="23">
        <v>1.76</v>
      </c>
      <c r="N166" s="23">
        <f t="shared" si="25"/>
        <v>7.04</v>
      </c>
    </row>
    <row r="167" spans="1:14" ht="76.5">
      <c r="A167"/>
      <c r="B167" s="20" t="s">
        <v>526</v>
      </c>
      <c r="C167" s="21" t="s">
        <v>626</v>
      </c>
      <c r="D167" s="22" t="s">
        <v>44</v>
      </c>
      <c r="E167" s="20" t="s">
        <v>189</v>
      </c>
      <c r="F167" s="23">
        <f t="shared" si="24"/>
        <v>93.64755000000001</v>
      </c>
      <c r="G167" s="20" t="s">
        <v>137</v>
      </c>
      <c r="H167" s="22"/>
      <c r="I167" s="20" t="s">
        <v>201</v>
      </c>
      <c r="J167" s="20" t="s">
        <v>44</v>
      </c>
      <c r="K167" s="20" t="s">
        <v>192</v>
      </c>
      <c r="L167" s="22">
        <v>16.8</v>
      </c>
      <c r="M167" s="23">
        <v>0.53</v>
      </c>
      <c r="N167" s="23">
        <f t="shared" si="25"/>
        <v>8.904000000000002</v>
      </c>
    </row>
    <row r="168" spans="1:14" ht="76.5">
      <c r="A168"/>
      <c r="B168" s="20" t="s">
        <v>526</v>
      </c>
      <c r="C168" s="21" t="s">
        <v>626</v>
      </c>
      <c r="D168" s="22" t="s">
        <v>44</v>
      </c>
      <c r="E168" s="20" t="s">
        <v>189</v>
      </c>
      <c r="F168" s="23">
        <f t="shared" si="24"/>
        <v>93.64755000000001</v>
      </c>
      <c r="G168" s="20" t="s">
        <v>137</v>
      </c>
      <c r="H168" s="22"/>
      <c r="I168" s="20" t="s">
        <v>202</v>
      </c>
      <c r="J168" s="20" t="s">
        <v>44</v>
      </c>
      <c r="K168" s="20" t="s">
        <v>192</v>
      </c>
      <c r="L168" s="22">
        <v>16.8</v>
      </c>
      <c r="M168" s="23">
        <v>0.8</v>
      </c>
      <c r="N168" s="23">
        <f t="shared" si="25"/>
        <v>13.440000000000001</v>
      </c>
    </row>
    <row r="169" spans="1:14" ht="76.5">
      <c r="A169"/>
      <c r="B169" s="20" t="s">
        <v>526</v>
      </c>
      <c r="C169" s="21" t="s">
        <v>626</v>
      </c>
      <c r="D169" s="22" t="s">
        <v>44</v>
      </c>
      <c r="E169" s="20" t="s">
        <v>189</v>
      </c>
      <c r="F169" s="23">
        <f t="shared" si="24"/>
        <v>93.64755000000001</v>
      </c>
      <c r="G169" s="20" t="s">
        <v>137</v>
      </c>
      <c r="H169" s="22"/>
      <c r="I169" s="20" t="s">
        <v>203</v>
      </c>
      <c r="J169" s="20" t="s">
        <v>44</v>
      </c>
      <c r="K169" s="20" t="s">
        <v>192</v>
      </c>
      <c r="L169" s="22">
        <v>16.8</v>
      </c>
      <c r="M169" s="23">
        <v>0.2</v>
      </c>
      <c r="N169" s="23">
        <f t="shared" si="25"/>
        <v>3.3600000000000003</v>
      </c>
    </row>
    <row r="170" spans="1:14" ht="76.5">
      <c r="A170"/>
      <c r="B170" s="20" t="s">
        <v>526</v>
      </c>
      <c r="C170" s="21" t="s">
        <v>626</v>
      </c>
      <c r="D170" s="22" t="s">
        <v>44</v>
      </c>
      <c r="E170" s="20" t="s">
        <v>189</v>
      </c>
      <c r="F170" s="23">
        <f t="shared" si="24"/>
        <v>93.64755000000001</v>
      </c>
      <c r="G170" s="20" t="s">
        <v>108</v>
      </c>
      <c r="H170" s="22">
        <v>88247</v>
      </c>
      <c r="I170" s="20" t="s">
        <v>198</v>
      </c>
      <c r="J170" s="20" t="s">
        <v>135</v>
      </c>
      <c r="K170" s="20" t="s">
        <v>191</v>
      </c>
      <c r="L170" s="22">
        <v>0.527</v>
      </c>
      <c r="M170" s="22">
        <v>20.42</v>
      </c>
      <c r="N170" s="23">
        <f t="shared" si="25"/>
        <v>10.76134</v>
      </c>
    </row>
    <row r="171" spans="1:14" ht="76.5">
      <c r="A171"/>
      <c r="B171" s="20" t="s">
        <v>526</v>
      </c>
      <c r="C171" s="21" t="s">
        <v>626</v>
      </c>
      <c r="D171" s="22" t="s">
        <v>44</v>
      </c>
      <c r="E171" s="20" t="s">
        <v>189</v>
      </c>
      <c r="F171" s="23">
        <f t="shared" si="24"/>
        <v>93.64755000000001</v>
      </c>
      <c r="G171" s="20" t="s">
        <v>108</v>
      </c>
      <c r="H171" s="22">
        <v>88264</v>
      </c>
      <c r="I171" s="20" t="s">
        <v>159</v>
      </c>
      <c r="J171" s="20" t="s">
        <v>135</v>
      </c>
      <c r="K171" s="20" t="s">
        <v>191</v>
      </c>
      <c r="L171" s="22">
        <v>0.527</v>
      </c>
      <c r="M171" s="22">
        <v>23.23</v>
      </c>
      <c r="N171" s="23">
        <f t="shared" si="25"/>
        <v>12.24221</v>
      </c>
    </row>
    <row r="172" spans="1:14" ht="15">
      <c r="A172"/>
      <c r="B172" s="25"/>
      <c r="C172" s="28"/>
      <c r="D172" s="25"/>
      <c r="E172" s="25"/>
      <c r="F172" s="25"/>
      <c r="G172" s="24"/>
      <c r="H172" s="25"/>
      <c r="I172" s="24"/>
      <c r="J172" s="26"/>
      <c r="K172" s="25"/>
      <c r="L172" s="26"/>
      <c r="M172" s="26"/>
      <c r="N172" s="23">
        <f>SUM(N165:N171)</f>
        <v>93.64755000000001</v>
      </c>
    </row>
    <row r="173" spans="1:14" ht="15">
      <c r="A173"/>
      <c r="B173"/>
      <c r="C173"/>
      <c r="D173"/>
      <c r="E173"/>
      <c r="F173"/>
      <c r="G173"/>
      <c r="H173"/>
      <c r="I173"/>
      <c r="J173"/>
      <c r="K173"/>
      <c r="L173"/>
      <c r="M173"/>
      <c r="N173"/>
    </row>
    <row r="174" spans="1:14" ht="25.5">
      <c r="A174"/>
      <c r="B174" s="20" t="s">
        <v>524</v>
      </c>
      <c r="C174" s="186" t="s">
        <v>525</v>
      </c>
      <c r="D174" s="187" t="s">
        <v>44</v>
      </c>
      <c r="E174" s="188" t="s">
        <v>15</v>
      </c>
      <c r="F174" s="189">
        <f>N$178</f>
        <v>159.76773000000003</v>
      </c>
      <c r="G174" s="190"/>
      <c r="H174" s="191"/>
      <c r="I174" s="190"/>
      <c r="J174" s="192"/>
      <c r="K174" s="191"/>
      <c r="L174" s="192"/>
      <c r="M174" s="192"/>
      <c r="N174" s="193"/>
    </row>
    <row r="175" spans="1:14" ht="63.75">
      <c r="A175"/>
      <c r="B175" s="20" t="s">
        <v>524</v>
      </c>
      <c r="C175" s="186" t="s">
        <v>525</v>
      </c>
      <c r="D175" s="187" t="s">
        <v>44</v>
      </c>
      <c r="E175" s="188" t="s">
        <v>15</v>
      </c>
      <c r="F175" s="189">
        <f>N$178</f>
        <v>159.76773000000003</v>
      </c>
      <c r="G175" s="188" t="s">
        <v>154</v>
      </c>
      <c r="H175" s="187">
        <v>91677</v>
      </c>
      <c r="I175" s="188" t="s">
        <v>627</v>
      </c>
      <c r="J175" s="188" t="s">
        <v>135</v>
      </c>
      <c r="K175" s="188" t="s">
        <v>189</v>
      </c>
      <c r="L175" s="187">
        <v>0</v>
      </c>
      <c r="M175" s="189">
        <v>97.75</v>
      </c>
      <c r="N175" s="189">
        <f>L175*M175</f>
        <v>0</v>
      </c>
    </row>
    <row r="176" spans="1:14" ht="63.75">
      <c r="A176"/>
      <c r="B176" s="20" t="s">
        <v>524</v>
      </c>
      <c r="C176" s="186" t="s">
        <v>525</v>
      </c>
      <c r="D176" s="187" t="s">
        <v>44</v>
      </c>
      <c r="E176" s="188" t="s">
        <v>15</v>
      </c>
      <c r="F176" s="189">
        <f>N$178</f>
        <v>159.76773000000003</v>
      </c>
      <c r="G176" s="188" t="s">
        <v>108</v>
      </c>
      <c r="H176" s="187">
        <v>88247</v>
      </c>
      <c r="I176" s="188" t="s">
        <v>190</v>
      </c>
      <c r="J176" s="188" t="s">
        <v>135</v>
      </c>
      <c r="K176" s="188" t="s">
        <v>189</v>
      </c>
      <c r="L176" s="187">
        <v>3.6602</v>
      </c>
      <c r="M176" s="22">
        <v>20.42</v>
      </c>
      <c r="N176" s="189">
        <f>L176*M176</f>
        <v>74.74128400000001</v>
      </c>
    </row>
    <row r="177" spans="1:14" ht="25.5">
      <c r="A177"/>
      <c r="B177" s="20" t="s">
        <v>524</v>
      </c>
      <c r="C177" s="186" t="s">
        <v>525</v>
      </c>
      <c r="D177" s="187" t="s">
        <v>44</v>
      </c>
      <c r="E177" s="188" t="s">
        <v>15</v>
      </c>
      <c r="F177" s="189">
        <f>N$178</f>
        <v>159.76773000000003</v>
      </c>
      <c r="G177" s="188" t="s">
        <v>108</v>
      </c>
      <c r="H177" s="187">
        <v>88264</v>
      </c>
      <c r="I177" s="188" t="s">
        <v>159</v>
      </c>
      <c r="J177" s="188" t="s">
        <v>135</v>
      </c>
      <c r="K177" s="188" t="s">
        <v>191</v>
      </c>
      <c r="L177" s="187">
        <v>3.6602</v>
      </c>
      <c r="M177" s="22">
        <v>23.23</v>
      </c>
      <c r="N177" s="189">
        <f>L177*M177</f>
        <v>85.026446</v>
      </c>
    </row>
    <row r="178" spans="1:14" ht="15">
      <c r="A178"/>
      <c r="B178" s="191"/>
      <c r="C178" s="194"/>
      <c r="D178" s="191"/>
      <c r="E178" s="191"/>
      <c r="F178" s="191"/>
      <c r="G178" s="190"/>
      <c r="H178" s="191"/>
      <c r="I178" s="190"/>
      <c r="J178" s="192"/>
      <c r="K178" s="191"/>
      <c r="L178" s="192"/>
      <c r="M178" s="192"/>
      <c r="N178" s="189">
        <f>SUM(N175:N177)</f>
        <v>159.76773000000003</v>
      </c>
    </row>
    <row r="179" spans="1:14" ht="15">
      <c r="A179"/>
      <c r="B179"/>
      <c r="C179"/>
      <c r="D179"/>
      <c r="E179"/>
      <c r="F179"/>
      <c r="G179"/>
      <c r="H179"/>
      <c r="I179"/>
      <c r="J179"/>
      <c r="K179"/>
      <c r="L179"/>
      <c r="M179"/>
      <c r="N179"/>
    </row>
    <row r="180" spans="1:14" ht="38.25">
      <c r="A180"/>
      <c r="B180" s="20" t="s">
        <v>507</v>
      </c>
      <c r="C180" s="186" t="s">
        <v>508</v>
      </c>
      <c r="D180" s="22" t="s">
        <v>44</v>
      </c>
      <c r="E180" s="20" t="s">
        <v>15</v>
      </c>
      <c r="F180" s="23">
        <f>N$185</f>
        <v>43.01858</v>
      </c>
      <c r="G180" s="24"/>
      <c r="H180" s="25"/>
      <c r="I180" s="24"/>
      <c r="J180" s="26"/>
      <c r="K180" s="25"/>
      <c r="L180" s="26"/>
      <c r="M180" s="26"/>
      <c r="N180" s="27"/>
    </row>
    <row r="181" spans="1:14" ht="38.25">
      <c r="A181"/>
      <c r="B181" s="20" t="s">
        <v>507</v>
      </c>
      <c r="C181" s="186" t="s">
        <v>508</v>
      </c>
      <c r="D181" s="22" t="s">
        <v>44</v>
      </c>
      <c r="E181" s="20" t="s">
        <v>15</v>
      </c>
      <c r="F181" s="23">
        <f>N$185</f>
        <v>43.01858</v>
      </c>
      <c r="G181" s="20" t="s">
        <v>137</v>
      </c>
      <c r="H181" s="22"/>
      <c r="I181" s="188" t="s">
        <v>628</v>
      </c>
      <c r="J181" s="20" t="s">
        <v>44</v>
      </c>
      <c r="K181" s="20" t="s">
        <v>15</v>
      </c>
      <c r="L181" s="22">
        <v>1</v>
      </c>
      <c r="M181" s="23">
        <v>31.9</v>
      </c>
      <c r="N181" s="23">
        <f>L181*M181</f>
        <v>31.9</v>
      </c>
    </row>
    <row r="182" spans="1:14" ht="63.75">
      <c r="A182"/>
      <c r="B182" s="20" t="s">
        <v>507</v>
      </c>
      <c r="C182" s="186" t="s">
        <v>508</v>
      </c>
      <c r="D182" s="22" t="s">
        <v>44</v>
      </c>
      <c r="E182" s="20" t="s">
        <v>15</v>
      </c>
      <c r="F182" s="23">
        <f>N$185</f>
        <v>43.01858</v>
      </c>
      <c r="G182" s="20" t="s">
        <v>137</v>
      </c>
      <c r="H182" s="22">
        <v>1576</v>
      </c>
      <c r="I182" s="188" t="s">
        <v>206</v>
      </c>
      <c r="J182" s="20" t="s">
        <v>44</v>
      </c>
      <c r="K182" s="20" t="s">
        <v>189</v>
      </c>
      <c r="L182" s="22">
        <v>1</v>
      </c>
      <c r="M182" s="23">
        <v>2.86</v>
      </c>
      <c r="N182" s="23">
        <f>L182*M182</f>
        <v>2.86</v>
      </c>
    </row>
    <row r="183" spans="1:14" ht="63.75">
      <c r="A183"/>
      <c r="B183" s="20" t="s">
        <v>507</v>
      </c>
      <c r="C183" s="186" t="s">
        <v>508</v>
      </c>
      <c r="D183" s="22" t="s">
        <v>44</v>
      </c>
      <c r="E183" s="20" t="s">
        <v>15</v>
      </c>
      <c r="F183" s="23">
        <f>N$185</f>
        <v>43.01858</v>
      </c>
      <c r="G183" s="20" t="s">
        <v>108</v>
      </c>
      <c r="H183" s="22">
        <v>88247</v>
      </c>
      <c r="I183" s="20" t="s">
        <v>190</v>
      </c>
      <c r="J183" s="20" t="s">
        <v>135</v>
      </c>
      <c r="K183" s="20" t="s">
        <v>189</v>
      </c>
      <c r="L183" s="22">
        <v>0.1892</v>
      </c>
      <c r="M183" s="22">
        <v>20.42</v>
      </c>
      <c r="N183" s="23">
        <f>L183*M183</f>
        <v>3.8634640000000005</v>
      </c>
    </row>
    <row r="184" spans="1:14" ht="38.25">
      <c r="A184"/>
      <c r="B184" s="20" t="s">
        <v>507</v>
      </c>
      <c r="C184" s="186" t="s">
        <v>508</v>
      </c>
      <c r="D184" s="22" t="s">
        <v>44</v>
      </c>
      <c r="E184" s="20" t="s">
        <v>15</v>
      </c>
      <c r="F184" s="23">
        <f>N$185</f>
        <v>43.01858</v>
      </c>
      <c r="G184" s="20" t="s">
        <v>108</v>
      </c>
      <c r="H184" s="22">
        <v>88264</v>
      </c>
      <c r="I184" s="20" t="s">
        <v>159</v>
      </c>
      <c r="J184" s="20" t="s">
        <v>135</v>
      </c>
      <c r="K184" s="20" t="s">
        <v>191</v>
      </c>
      <c r="L184" s="22">
        <v>0.1892</v>
      </c>
      <c r="M184" s="22">
        <v>23.23</v>
      </c>
      <c r="N184" s="23">
        <f>L184*M184</f>
        <v>4.395116</v>
      </c>
    </row>
    <row r="185" spans="1:14" ht="15">
      <c r="A185"/>
      <c r="B185" s="25"/>
      <c r="C185" s="28"/>
      <c r="D185" s="25"/>
      <c r="E185" s="25"/>
      <c r="F185" s="25"/>
      <c r="G185" s="24"/>
      <c r="H185" s="25"/>
      <c r="I185" s="24"/>
      <c r="J185" s="26"/>
      <c r="K185" s="25"/>
      <c r="L185" s="26"/>
      <c r="M185" s="26"/>
      <c r="N185" s="23">
        <f>SUM(N181:N184)</f>
        <v>43.01858</v>
      </c>
    </row>
  </sheetData>
  <mergeCells count="1">
    <mergeCell ref="A2:N2"/>
  </mergeCells>
  <printOptions/>
  <pageMargins left="0.511805555555555" right="0.511805555555555" top="0.7875" bottom="0.7875" header="0.511805555555555" footer="0.51180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B38"/>
  <sheetViews>
    <sheetView view="pageBreakPreview" zoomScale="60" workbookViewId="0" topLeftCell="A1">
      <selection activeCell="A1" sqref="A1:O42"/>
    </sheetView>
  </sheetViews>
  <sheetFormatPr defaultColWidth="9.140625" defaultRowHeight="15"/>
  <cols>
    <col min="3" max="3" width="36.57421875" style="0" customWidth="1"/>
    <col min="4" max="4" width="10.00390625" style="0" bestFit="1" customWidth="1"/>
    <col min="5" max="5" width="11.421875" style="0" customWidth="1"/>
    <col min="7" max="7" width="5.28125" style="0" customWidth="1"/>
    <col min="8" max="8" width="0.13671875" style="0" customWidth="1"/>
    <col min="9" max="9" width="38.28125" style="0" hidden="1" customWidth="1"/>
    <col min="10" max="10" width="8.00390625" style="0" hidden="1" customWidth="1"/>
    <col min="11" max="12" width="8.8515625" style="0" hidden="1" customWidth="1"/>
    <col min="13" max="13" width="1.7109375" style="0" hidden="1" customWidth="1"/>
    <col min="14" max="15" width="8.8515625" style="0" hidden="1" customWidth="1"/>
    <col min="19" max="19" width="52.28125" style="0" bestFit="1" customWidth="1"/>
    <col min="20" max="20" width="9.57421875" style="0" bestFit="1" customWidth="1"/>
  </cols>
  <sheetData>
    <row r="1" spans="1:24" ht="14.45" customHeight="1">
      <c r="A1" s="282" t="s">
        <v>276</v>
      </c>
      <c r="B1" s="283"/>
      <c r="C1" s="283"/>
      <c r="D1" s="283"/>
      <c r="E1" s="283"/>
      <c r="F1" s="283"/>
      <c r="G1" s="283"/>
      <c r="H1" s="283"/>
      <c r="I1" s="283"/>
      <c r="J1" s="283"/>
      <c r="K1" s="283"/>
      <c r="L1" s="283"/>
      <c r="M1" s="283"/>
      <c r="N1" s="283"/>
      <c r="O1" s="284"/>
      <c r="S1" s="53" t="s">
        <v>277</v>
      </c>
      <c r="T1" s="54"/>
      <c r="U1" s="54"/>
      <c r="V1" s="54"/>
      <c r="W1" s="54"/>
      <c r="X1" s="54"/>
    </row>
    <row r="2" spans="1:15" ht="14.45" customHeight="1" thickBot="1">
      <c r="A2" s="285"/>
      <c r="B2" s="286"/>
      <c r="C2" s="286"/>
      <c r="D2" s="286"/>
      <c r="E2" s="286"/>
      <c r="F2" s="286"/>
      <c r="G2" s="286"/>
      <c r="H2" s="286"/>
      <c r="I2" s="286"/>
      <c r="J2" s="286"/>
      <c r="K2" s="286"/>
      <c r="L2" s="286"/>
      <c r="M2" s="286"/>
      <c r="N2" s="286"/>
      <c r="O2" s="287"/>
    </row>
    <row r="3" spans="1:28" ht="15" customHeight="1" thickBot="1">
      <c r="A3" s="288"/>
      <c r="B3" s="289"/>
      <c r="C3" s="289"/>
      <c r="D3" s="289"/>
      <c r="E3" s="289"/>
      <c r="F3" s="289"/>
      <c r="G3" s="289"/>
      <c r="H3" s="289"/>
      <c r="I3" s="289"/>
      <c r="J3" s="289"/>
      <c r="K3" s="289"/>
      <c r="L3" s="289"/>
      <c r="M3" s="289"/>
      <c r="N3" s="289"/>
      <c r="O3" s="290"/>
      <c r="S3" s="291" t="s">
        <v>278</v>
      </c>
      <c r="T3" s="293" t="s">
        <v>279</v>
      </c>
      <c r="U3" s="294"/>
      <c r="V3" s="295"/>
      <c r="W3" s="293" t="s">
        <v>280</v>
      </c>
      <c r="X3" s="294"/>
      <c r="Y3" s="295"/>
      <c r="Z3" s="294" t="s">
        <v>281</v>
      </c>
      <c r="AA3" s="294"/>
      <c r="AB3" s="295"/>
    </row>
    <row r="4" spans="2:28" ht="15.75" thickBot="1">
      <c r="B4" t="s">
        <v>282</v>
      </c>
      <c r="S4" s="292"/>
      <c r="T4" s="55" t="s">
        <v>283</v>
      </c>
      <c r="U4" s="56" t="s">
        <v>284</v>
      </c>
      <c r="V4" s="57" t="s">
        <v>285</v>
      </c>
      <c r="W4" s="55" t="s">
        <v>283</v>
      </c>
      <c r="X4" s="56" t="s">
        <v>284</v>
      </c>
      <c r="Y4" s="57" t="s">
        <v>285</v>
      </c>
      <c r="Z4" s="55" t="s">
        <v>283</v>
      </c>
      <c r="AA4" s="56" t="s">
        <v>284</v>
      </c>
      <c r="AB4" s="57" t="s">
        <v>285</v>
      </c>
    </row>
    <row r="5" spans="2:28" ht="15.75" thickBot="1">
      <c r="B5" s="58" t="s">
        <v>286</v>
      </c>
      <c r="C5" s="58"/>
      <c r="D5" s="53"/>
      <c r="E5" s="53"/>
      <c r="M5" s="59"/>
      <c r="N5" s="60"/>
      <c r="S5" s="61" t="s">
        <v>287</v>
      </c>
      <c r="T5" s="62">
        <v>0.03</v>
      </c>
      <c r="U5" s="63">
        <v>0.04</v>
      </c>
      <c r="V5" s="64">
        <v>0.055</v>
      </c>
      <c r="W5" s="65">
        <v>0.008</v>
      </c>
      <c r="X5" s="63">
        <v>0.008</v>
      </c>
      <c r="Y5" s="64">
        <v>0.01</v>
      </c>
      <c r="Z5" s="65">
        <v>0.0097</v>
      </c>
      <c r="AA5" s="66">
        <v>0.0127</v>
      </c>
      <c r="AB5" s="64">
        <v>0.0127</v>
      </c>
    </row>
    <row r="6" spans="19:28" ht="15.75" thickBot="1">
      <c r="S6" s="61" t="s">
        <v>288</v>
      </c>
      <c r="T6" s="62">
        <v>0.038</v>
      </c>
      <c r="U6" s="63">
        <v>0.0401</v>
      </c>
      <c r="V6" s="64">
        <v>0.0467</v>
      </c>
      <c r="W6" s="65">
        <v>0.0032</v>
      </c>
      <c r="X6" s="63">
        <v>0.004</v>
      </c>
      <c r="Y6" s="64">
        <v>0.0074</v>
      </c>
      <c r="Z6" s="65">
        <v>0.005</v>
      </c>
      <c r="AA6" s="66">
        <v>0.0056</v>
      </c>
      <c r="AB6" s="64">
        <v>0.0097</v>
      </c>
    </row>
    <row r="7" spans="1:28" ht="30.75" thickBot="1">
      <c r="A7" s="67"/>
      <c r="B7" s="255" t="s">
        <v>2</v>
      </c>
      <c r="C7" s="257" t="s">
        <v>289</v>
      </c>
      <c r="D7" s="68" t="s">
        <v>290</v>
      </c>
      <c r="E7" s="69" t="s">
        <v>290</v>
      </c>
      <c r="F7" s="70"/>
      <c r="G7" s="71"/>
      <c r="M7" s="72"/>
      <c r="N7" s="73"/>
      <c r="S7" s="74" t="s">
        <v>291</v>
      </c>
      <c r="T7" s="75">
        <v>0.0343</v>
      </c>
      <c r="U7" s="76">
        <v>0.0493</v>
      </c>
      <c r="V7" s="77">
        <v>0.0671</v>
      </c>
      <c r="W7" s="75">
        <v>0.0028</v>
      </c>
      <c r="X7" s="76">
        <v>0.0049</v>
      </c>
      <c r="Y7" s="77">
        <v>0.0075</v>
      </c>
      <c r="Z7" s="75">
        <v>0.01</v>
      </c>
      <c r="AA7" s="76">
        <v>0.0139</v>
      </c>
      <c r="AB7" s="77">
        <v>0.0174</v>
      </c>
    </row>
    <row r="8" spans="1:28" ht="30.75" thickBot="1">
      <c r="A8" s="67"/>
      <c r="B8" s="256"/>
      <c r="C8" s="258"/>
      <c r="D8" s="78" t="s">
        <v>292</v>
      </c>
      <c r="E8" s="79" t="s">
        <v>293</v>
      </c>
      <c r="F8" s="70"/>
      <c r="G8" s="71"/>
      <c r="M8" s="80"/>
      <c r="N8" s="81"/>
      <c r="S8" s="82" t="s">
        <v>294</v>
      </c>
      <c r="T8" s="75">
        <v>0.0529</v>
      </c>
      <c r="U8" s="76">
        <v>0.0592</v>
      </c>
      <c r="V8" s="77">
        <v>0.0793</v>
      </c>
      <c r="W8" s="75">
        <v>0.0025</v>
      </c>
      <c r="X8" s="76">
        <v>0.0051</v>
      </c>
      <c r="Y8" s="77">
        <v>0.0056</v>
      </c>
      <c r="Z8" s="75">
        <v>0.01</v>
      </c>
      <c r="AA8" s="76">
        <v>0.0148</v>
      </c>
      <c r="AB8" s="77">
        <v>0.0197</v>
      </c>
    </row>
    <row r="9" spans="1:28" ht="15.75" thickBot="1">
      <c r="A9" s="67"/>
      <c r="B9" s="83"/>
      <c r="C9" s="84"/>
      <c r="D9" s="85"/>
      <c r="E9" s="86"/>
      <c r="F9" s="70"/>
      <c r="G9" s="71"/>
      <c r="M9" s="80"/>
      <c r="N9" s="81"/>
      <c r="S9" s="87" t="s">
        <v>295</v>
      </c>
      <c r="T9" s="88">
        <v>0.04</v>
      </c>
      <c r="U9" s="89">
        <v>0.0552</v>
      </c>
      <c r="V9" s="90">
        <v>0.0785</v>
      </c>
      <c r="W9" s="91">
        <v>0.81</v>
      </c>
      <c r="X9" s="92">
        <v>0.0122</v>
      </c>
      <c r="Y9" s="90">
        <v>0.0199</v>
      </c>
      <c r="Z9" s="88">
        <v>0.0146</v>
      </c>
      <c r="AA9" s="92">
        <v>0.0232</v>
      </c>
      <c r="AB9" s="90">
        <v>0.0316</v>
      </c>
    </row>
    <row r="10" spans="1:14" ht="15.75" thickBot="1">
      <c r="A10" s="67"/>
      <c r="B10" s="93">
        <v>1</v>
      </c>
      <c r="C10" s="94" t="s">
        <v>296</v>
      </c>
      <c r="D10" s="95" t="s">
        <v>112</v>
      </c>
      <c r="E10" s="96">
        <v>3.8</v>
      </c>
      <c r="F10" s="97"/>
      <c r="G10" s="98"/>
      <c r="M10" s="80"/>
      <c r="N10" s="81"/>
    </row>
    <row r="11" spans="1:26" ht="15.75" thickBot="1">
      <c r="A11" s="67"/>
      <c r="B11" s="99" t="s">
        <v>11</v>
      </c>
      <c r="C11" s="100" t="s">
        <v>297</v>
      </c>
      <c r="D11" s="101" t="s">
        <v>112</v>
      </c>
      <c r="E11" s="102" t="s">
        <v>112</v>
      </c>
      <c r="F11" s="103"/>
      <c r="G11" s="104"/>
      <c r="M11" s="80"/>
      <c r="N11" s="81"/>
      <c r="S11" s="260" t="s">
        <v>278</v>
      </c>
      <c r="T11" s="261"/>
      <c r="U11" s="264" t="s">
        <v>298</v>
      </c>
      <c r="V11" s="265"/>
      <c r="W11" s="265"/>
      <c r="X11" s="264" t="s">
        <v>299</v>
      </c>
      <c r="Y11" s="265"/>
      <c r="Z11" s="279"/>
    </row>
    <row r="12" spans="1:26" ht="15.75" thickBot="1">
      <c r="A12" s="67"/>
      <c r="B12" s="99" t="s">
        <v>12</v>
      </c>
      <c r="C12" s="100" t="s">
        <v>300</v>
      </c>
      <c r="D12" s="101" t="s">
        <v>112</v>
      </c>
      <c r="E12" s="102" t="s">
        <v>112</v>
      </c>
      <c r="F12" s="103"/>
      <c r="G12" s="104"/>
      <c r="M12" s="80"/>
      <c r="N12" s="81"/>
      <c r="S12" s="262"/>
      <c r="T12" s="263"/>
      <c r="U12" s="105" t="s">
        <v>283</v>
      </c>
      <c r="V12" s="106" t="s">
        <v>284</v>
      </c>
      <c r="W12" s="107" t="s">
        <v>285</v>
      </c>
      <c r="X12" s="105" t="s">
        <v>283</v>
      </c>
      <c r="Y12" s="106" t="s">
        <v>284</v>
      </c>
      <c r="Z12" s="108" t="s">
        <v>285</v>
      </c>
    </row>
    <row r="13" spans="1:26" ht="15.75" thickBot="1">
      <c r="A13" s="67"/>
      <c r="B13" s="99" t="s">
        <v>14</v>
      </c>
      <c r="C13" s="100" t="s">
        <v>301</v>
      </c>
      <c r="D13" s="101" t="s">
        <v>112</v>
      </c>
      <c r="E13" s="102" t="s">
        <v>112</v>
      </c>
      <c r="F13" s="103"/>
      <c r="G13" s="104"/>
      <c r="M13" s="80"/>
      <c r="N13" s="81"/>
      <c r="S13" s="266" t="s">
        <v>287</v>
      </c>
      <c r="T13" s="267"/>
      <c r="U13" s="88">
        <v>0.0059</v>
      </c>
      <c r="V13" s="92">
        <v>0.0123</v>
      </c>
      <c r="W13" s="109">
        <v>0.0139</v>
      </c>
      <c r="X13" s="88">
        <v>0.0616</v>
      </c>
      <c r="Y13" s="92">
        <v>0.074</v>
      </c>
      <c r="Z13" s="90">
        <v>0.0896</v>
      </c>
    </row>
    <row r="14" spans="1:26" ht="15.75" thickBot="1">
      <c r="A14" s="67"/>
      <c r="B14" s="110" t="s">
        <v>112</v>
      </c>
      <c r="C14" s="100" t="s">
        <v>112</v>
      </c>
      <c r="D14" s="101" t="s">
        <v>112</v>
      </c>
      <c r="E14" s="102" t="s">
        <v>112</v>
      </c>
      <c r="F14" s="103"/>
      <c r="G14" s="104"/>
      <c r="M14" s="80"/>
      <c r="N14" s="81"/>
      <c r="S14" s="266" t="s">
        <v>288</v>
      </c>
      <c r="T14" s="267"/>
      <c r="U14" s="88">
        <v>0.0102</v>
      </c>
      <c r="V14" s="92">
        <v>0.0111</v>
      </c>
      <c r="W14" s="109">
        <v>0.0121</v>
      </c>
      <c r="X14" s="88">
        <v>0.0664</v>
      </c>
      <c r="Y14" s="92">
        <v>0.073</v>
      </c>
      <c r="Z14" s="90">
        <v>0.0869</v>
      </c>
    </row>
    <row r="15" spans="1:26" ht="15.75" customHeight="1" thickBot="1">
      <c r="A15" s="67"/>
      <c r="B15" s="93">
        <v>2</v>
      </c>
      <c r="C15" s="94" t="s">
        <v>302</v>
      </c>
      <c r="D15" s="111">
        <f>SUM(D16:D19)</f>
        <v>10.15</v>
      </c>
      <c r="E15" s="112"/>
      <c r="F15" s="103"/>
      <c r="G15" s="98"/>
      <c r="M15" s="80"/>
      <c r="N15" s="81"/>
      <c r="S15" s="280" t="s">
        <v>291</v>
      </c>
      <c r="T15" s="281"/>
      <c r="U15" s="75">
        <v>0.0094</v>
      </c>
      <c r="V15" s="76">
        <v>0.0099</v>
      </c>
      <c r="W15" s="113">
        <v>0.0117</v>
      </c>
      <c r="X15" s="75">
        <v>0.0674</v>
      </c>
      <c r="Y15" s="76">
        <v>0.0804</v>
      </c>
      <c r="Z15" s="77">
        <v>0.094</v>
      </c>
    </row>
    <row r="16" spans="1:26" ht="15.75" customHeight="1" thickBot="1">
      <c r="A16" s="67"/>
      <c r="B16" s="114" t="s">
        <v>18</v>
      </c>
      <c r="C16" s="115" t="s">
        <v>303</v>
      </c>
      <c r="D16" s="101">
        <v>2</v>
      </c>
      <c r="E16" s="102"/>
      <c r="F16" s="103"/>
      <c r="G16" s="104"/>
      <c r="M16" s="80"/>
      <c r="N16" s="81"/>
      <c r="S16" s="280" t="s">
        <v>294</v>
      </c>
      <c r="T16" s="281"/>
      <c r="U16" s="75">
        <v>0.0101</v>
      </c>
      <c r="V16" s="76">
        <v>0.0107</v>
      </c>
      <c r="W16" s="113">
        <v>0.0111</v>
      </c>
      <c r="X16" s="75">
        <v>0.08</v>
      </c>
      <c r="Y16" s="76">
        <v>0.0831</v>
      </c>
      <c r="Z16" s="77">
        <v>0.0951</v>
      </c>
    </row>
    <row r="17" spans="1:26" ht="15.75" thickBot="1">
      <c r="A17" s="67"/>
      <c r="B17" s="114" t="s">
        <v>20</v>
      </c>
      <c r="C17" s="100" t="s">
        <v>304</v>
      </c>
      <c r="D17" s="101">
        <v>0.65</v>
      </c>
      <c r="E17" s="102"/>
      <c r="F17" s="103"/>
      <c r="G17" s="104"/>
      <c r="M17" s="116"/>
      <c r="N17" s="117"/>
      <c r="S17" s="266" t="s">
        <v>295</v>
      </c>
      <c r="T17" s="267"/>
      <c r="U17" s="88">
        <v>0.0094</v>
      </c>
      <c r="V17" s="92">
        <v>0.0102</v>
      </c>
      <c r="W17" s="109">
        <v>0.0133</v>
      </c>
      <c r="X17" s="88">
        <v>0.0714</v>
      </c>
      <c r="Y17" s="92">
        <v>0.084</v>
      </c>
      <c r="Z17" s="90">
        <v>0.1043</v>
      </c>
    </row>
    <row r="18" spans="1:7" ht="15">
      <c r="A18" s="67"/>
      <c r="B18" s="114" t="s">
        <v>21</v>
      </c>
      <c r="C18" s="100" t="s">
        <v>305</v>
      </c>
      <c r="D18" s="118">
        <v>3</v>
      </c>
      <c r="E18" s="102"/>
      <c r="F18" s="103"/>
      <c r="G18" s="119"/>
    </row>
    <row r="19" spans="1:7" ht="15.75" thickBot="1">
      <c r="A19" s="67"/>
      <c r="B19" s="114" t="s">
        <v>22</v>
      </c>
      <c r="C19" s="100" t="s">
        <v>306</v>
      </c>
      <c r="D19" s="101">
        <v>4.5</v>
      </c>
      <c r="E19" s="102"/>
      <c r="F19" s="103"/>
      <c r="G19" s="98"/>
    </row>
    <row r="20" spans="1:26" ht="15" customHeight="1">
      <c r="A20" s="67"/>
      <c r="B20" s="93">
        <v>3</v>
      </c>
      <c r="C20" s="94" t="s">
        <v>307</v>
      </c>
      <c r="D20" s="120" t="s">
        <v>112</v>
      </c>
      <c r="E20" s="112">
        <f>SUM(E21:E23)</f>
        <v>1.77</v>
      </c>
      <c r="F20" s="103"/>
      <c r="G20" s="98"/>
      <c r="S20" s="268" t="s">
        <v>308</v>
      </c>
      <c r="T20" s="269"/>
      <c r="U20" s="269"/>
      <c r="V20" s="269"/>
      <c r="W20" s="269"/>
      <c r="X20" s="269"/>
      <c r="Y20" s="269"/>
      <c r="Z20" s="270"/>
    </row>
    <row r="21" spans="1:26" ht="15">
      <c r="A21" s="67"/>
      <c r="B21" s="114" t="s">
        <v>23</v>
      </c>
      <c r="C21" s="100" t="s">
        <v>309</v>
      </c>
      <c r="D21" s="101"/>
      <c r="E21" s="102">
        <v>0.4</v>
      </c>
      <c r="F21" s="103"/>
      <c r="G21" s="98"/>
      <c r="S21" s="271"/>
      <c r="T21" s="272"/>
      <c r="U21" s="272"/>
      <c r="V21" s="272"/>
      <c r="W21" s="272"/>
      <c r="X21" s="272"/>
      <c r="Y21" s="272"/>
      <c r="Z21" s="273"/>
    </row>
    <row r="22" spans="1:26" ht="15.75" thickBot="1">
      <c r="A22" s="67"/>
      <c r="B22" s="114" t="s">
        <v>25</v>
      </c>
      <c r="C22" s="100" t="s">
        <v>310</v>
      </c>
      <c r="D22" s="101"/>
      <c r="E22" s="102">
        <v>0.97</v>
      </c>
      <c r="F22" s="103"/>
      <c r="G22" s="98"/>
      <c r="S22" s="274"/>
      <c r="T22" s="275"/>
      <c r="U22" s="275"/>
      <c r="V22" s="275"/>
      <c r="W22" s="275"/>
      <c r="X22" s="275"/>
      <c r="Y22" s="275"/>
      <c r="Z22" s="276"/>
    </row>
    <row r="23" spans="1:7" ht="15">
      <c r="A23" s="67"/>
      <c r="B23" s="114" t="s">
        <v>25</v>
      </c>
      <c r="C23" s="100" t="s">
        <v>311</v>
      </c>
      <c r="D23" s="101"/>
      <c r="E23" s="102">
        <v>0.4</v>
      </c>
      <c r="F23" s="103"/>
      <c r="G23" s="98"/>
    </row>
    <row r="24" spans="1:7" ht="15">
      <c r="A24" s="67"/>
      <c r="B24" s="110"/>
      <c r="C24" s="121"/>
      <c r="D24" s="101"/>
      <c r="E24" s="102"/>
      <c r="F24" s="103"/>
      <c r="G24" s="98"/>
    </row>
    <row r="25" spans="1:7" ht="15">
      <c r="A25" s="67"/>
      <c r="B25" s="93">
        <v>4</v>
      </c>
      <c r="C25" s="94" t="s">
        <v>312</v>
      </c>
      <c r="D25" s="120" t="s">
        <v>112</v>
      </c>
      <c r="E25" s="112">
        <v>0.64</v>
      </c>
      <c r="F25" s="103"/>
      <c r="G25" s="98"/>
    </row>
    <row r="26" spans="1:7" ht="15">
      <c r="A26" s="67"/>
      <c r="B26" s="110"/>
      <c r="C26" s="100"/>
      <c r="D26" s="101"/>
      <c r="E26" s="102"/>
      <c r="F26" s="103"/>
      <c r="G26" s="98"/>
    </row>
    <row r="27" spans="1:7" ht="15">
      <c r="A27" s="67"/>
      <c r="B27" s="93">
        <v>5</v>
      </c>
      <c r="C27" s="94" t="s">
        <v>313</v>
      </c>
      <c r="D27" s="122"/>
      <c r="E27" s="112">
        <v>8</v>
      </c>
      <c r="F27" s="103"/>
      <c r="G27" s="98"/>
    </row>
    <row r="28" spans="1:7" ht="15.75" thickBot="1">
      <c r="A28" s="67"/>
      <c r="B28" s="110"/>
      <c r="C28" s="100"/>
      <c r="D28" s="123"/>
      <c r="E28" s="124"/>
      <c r="F28" s="103"/>
      <c r="G28" s="104"/>
    </row>
    <row r="29" spans="1:7" ht="15.75" thickBot="1">
      <c r="A29" s="67"/>
      <c r="B29" s="125" t="s">
        <v>112</v>
      </c>
      <c r="C29" s="126" t="s">
        <v>314</v>
      </c>
      <c r="D29" s="127" t="s">
        <v>112</v>
      </c>
      <c r="E29" s="128">
        <f>ROUND((((1+(E10%+E21%+E22%+E23%))*(1+E25%)*(1+E27%)/(1-D15%))-(1))*100,2)</f>
        <v>27.71</v>
      </c>
      <c r="F29" s="129"/>
      <c r="G29" s="98"/>
    </row>
    <row r="30" spans="1:7" ht="15">
      <c r="A30" s="67"/>
      <c r="B30" s="67"/>
      <c r="C30" s="67"/>
      <c r="D30" s="67"/>
      <c r="E30" s="67"/>
      <c r="F30" s="67"/>
      <c r="G30" s="67"/>
    </row>
    <row r="31" spans="1:7" ht="18">
      <c r="A31" s="67"/>
      <c r="B31" s="130"/>
      <c r="C31" s="130"/>
      <c r="D31" s="130"/>
      <c r="E31" s="130"/>
      <c r="F31" s="130"/>
      <c r="G31" s="67"/>
    </row>
    <row r="32" spans="1:7" ht="18">
      <c r="A32" s="67"/>
      <c r="B32" s="277" t="s">
        <v>315</v>
      </c>
      <c r="C32" s="277"/>
      <c r="D32" s="131">
        <f>ROUND((((1+((E10+E20)/100))*(1+E25/100)*(1+E27/100))/(1-D15/100)-1)*100,2)</f>
        <v>27.71</v>
      </c>
      <c r="E32" s="67"/>
      <c r="F32" s="67"/>
      <c r="G32" s="67"/>
    </row>
    <row r="33" spans="1:7" ht="15">
      <c r="A33" s="67"/>
      <c r="B33" s="278" t="s">
        <v>112</v>
      </c>
      <c r="C33" s="278"/>
      <c r="D33" s="67"/>
      <c r="E33" s="67"/>
      <c r="F33" s="67"/>
      <c r="G33" s="67"/>
    </row>
    <row r="34" spans="1:7" ht="15">
      <c r="A34" s="67"/>
      <c r="B34" s="259" t="s">
        <v>316</v>
      </c>
      <c r="C34" s="259"/>
      <c r="D34" s="259"/>
      <c r="E34" s="259"/>
      <c r="F34" s="259"/>
      <c r="G34" s="259"/>
    </row>
    <row r="35" spans="1:7" ht="15">
      <c r="A35" s="67"/>
      <c r="B35" s="67"/>
      <c r="C35" s="67"/>
      <c r="D35" s="67"/>
      <c r="E35" s="67"/>
      <c r="F35" s="67"/>
      <c r="G35" s="67"/>
    </row>
    <row r="36" spans="1:7" ht="15.75">
      <c r="A36" s="67"/>
      <c r="B36" s="132" t="s">
        <v>317</v>
      </c>
      <c r="C36" s="67"/>
      <c r="D36" s="67"/>
      <c r="E36" s="67"/>
      <c r="F36" s="67"/>
      <c r="G36" s="67"/>
    </row>
    <row r="37" ht="15.75" thickBot="1"/>
    <row r="38" spans="2:5" ht="15">
      <c r="B38" s="133" t="s">
        <v>318</v>
      </c>
      <c r="C38" s="134"/>
      <c r="D38" s="134"/>
      <c r="E38" s="134"/>
    </row>
  </sheetData>
  <mergeCells count="19">
    <mergeCell ref="A1:O3"/>
    <mergeCell ref="S3:S4"/>
    <mergeCell ref="T3:V3"/>
    <mergeCell ref="W3:Y3"/>
    <mergeCell ref="Z3:AB3"/>
    <mergeCell ref="B7:B8"/>
    <mergeCell ref="C7:C8"/>
    <mergeCell ref="B34:G34"/>
    <mergeCell ref="S11:T12"/>
    <mergeCell ref="U11:W11"/>
    <mergeCell ref="S17:T17"/>
    <mergeCell ref="S20:Z22"/>
    <mergeCell ref="B32:C32"/>
    <mergeCell ref="B33:C33"/>
    <mergeCell ref="X11:Z11"/>
    <mergeCell ref="S13:T13"/>
    <mergeCell ref="S14:T14"/>
    <mergeCell ref="S15:T15"/>
    <mergeCell ref="S16:T16"/>
  </mergeCells>
  <printOptions/>
  <pageMargins left="0.511811024" right="0.511811024" top="0.787401575" bottom="0.787401575" header="0.31496062" footer="0.3149606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J27"/>
  <sheetViews>
    <sheetView view="pageBreakPreview" zoomScale="60" workbookViewId="0" topLeftCell="A1">
      <selection activeCell="N25" sqref="N25"/>
    </sheetView>
  </sheetViews>
  <sheetFormatPr defaultColWidth="9.140625" defaultRowHeight="15"/>
  <cols>
    <col min="1" max="1" width="37.28125" style="0" customWidth="1"/>
    <col min="2" max="2" width="14.8515625" style="0" bestFit="1" customWidth="1"/>
    <col min="3" max="3" width="6.57421875" style="0" bestFit="1" customWidth="1"/>
    <col min="4" max="4" width="12.28125" style="0" bestFit="1" customWidth="1"/>
    <col min="5" max="5" width="7.00390625" style="0" bestFit="1" customWidth="1"/>
    <col min="6" max="6" width="13.421875" style="0" bestFit="1" customWidth="1"/>
    <col min="7" max="7" width="7.00390625" style="0" bestFit="1" customWidth="1"/>
    <col min="8" max="8" width="13.421875" style="0" bestFit="1" customWidth="1"/>
    <col min="9" max="9" width="5.8515625" style="0" bestFit="1" customWidth="1"/>
    <col min="10" max="10" width="13.421875" style="0" bestFit="1" customWidth="1"/>
  </cols>
  <sheetData>
    <row r="1" spans="1:10" ht="15">
      <c r="A1" s="135" t="s">
        <v>110</v>
      </c>
      <c r="B1" s="135"/>
      <c r="C1" s="136"/>
      <c r="D1" s="137"/>
      <c r="E1" s="136"/>
      <c r="F1" s="137"/>
      <c r="G1" s="136"/>
      <c r="H1" s="137"/>
      <c r="I1" s="136"/>
      <c r="J1" s="137"/>
    </row>
    <row r="2" spans="1:10" ht="15">
      <c r="A2" s="135"/>
      <c r="B2" s="135"/>
      <c r="C2" s="136"/>
      <c r="D2" s="137"/>
      <c r="E2" s="136"/>
      <c r="F2" s="137"/>
      <c r="G2" s="136"/>
      <c r="H2" s="137"/>
      <c r="I2" s="136"/>
      <c r="J2" s="137"/>
    </row>
    <row r="3" spans="1:10" ht="15">
      <c r="A3" s="135" t="s">
        <v>630</v>
      </c>
      <c r="B3" s="135"/>
      <c r="C3" s="136"/>
      <c r="D3" s="137"/>
      <c r="E3" s="136"/>
      <c r="F3" s="137"/>
      <c r="G3" s="136"/>
      <c r="H3" s="137"/>
      <c r="I3" s="136"/>
      <c r="J3" s="137"/>
    </row>
    <row r="4" spans="1:10" ht="15">
      <c r="A4" s="135"/>
      <c r="B4" s="135"/>
      <c r="C4" s="136"/>
      <c r="D4" s="137"/>
      <c r="E4" s="136"/>
      <c r="F4" s="137"/>
      <c r="G4" s="136"/>
      <c r="H4" s="137"/>
      <c r="I4" s="136"/>
      <c r="J4" s="137"/>
    </row>
    <row r="5" spans="1:10" ht="15">
      <c r="A5" s="135"/>
      <c r="B5" s="135"/>
      <c r="C5" s="136"/>
      <c r="D5" s="137"/>
      <c r="E5" s="136"/>
      <c r="F5" s="137"/>
      <c r="G5" s="136"/>
      <c r="H5" s="137"/>
      <c r="I5" s="136"/>
      <c r="J5" s="137"/>
    </row>
    <row r="6" spans="1:10" ht="15">
      <c r="A6" s="135" t="s">
        <v>631</v>
      </c>
      <c r="B6" s="135"/>
      <c r="C6" s="136"/>
      <c r="D6" s="137"/>
      <c r="E6" s="136"/>
      <c r="F6" s="137"/>
      <c r="G6" s="136"/>
      <c r="H6" s="137"/>
      <c r="I6" s="136"/>
      <c r="J6" s="137"/>
    </row>
    <row r="7" spans="1:10" ht="15">
      <c r="A7" s="135"/>
      <c r="B7" s="135"/>
      <c r="C7" s="136"/>
      <c r="D7" s="137"/>
      <c r="E7" s="136"/>
      <c r="F7" s="137"/>
      <c r="G7" s="136"/>
      <c r="H7" s="137"/>
      <c r="I7" s="136"/>
      <c r="J7" s="137"/>
    </row>
    <row r="8" spans="1:10" ht="15">
      <c r="A8" s="139" t="s">
        <v>322</v>
      </c>
      <c r="B8" s="155" t="s">
        <v>162</v>
      </c>
      <c r="C8" s="296" t="s">
        <v>323</v>
      </c>
      <c r="D8" s="296"/>
      <c r="E8" s="296" t="s">
        <v>384</v>
      </c>
      <c r="F8" s="296"/>
      <c r="G8" s="296" t="s">
        <v>385</v>
      </c>
      <c r="H8" s="296"/>
      <c r="I8" s="296" t="s">
        <v>629</v>
      </c>
      <c r="J8" s="296"/>
    </row>
    <row r="9" spans="1:10" ht="15">
      <c r="A9" s="138" t="str">
        <f>Orçamento!C12</f>
        <v>SERVIÇOS INICIAIS</v>
      </c>
      <c r="B9" s="141">
        <f>Orçamento!H14</f>
        <v>1512.1144961999998</v>
      </c>
      <c r="C9" s="142">
        <v>1</v>
      </c>
      <c r="D9" s="143">
        <f>$B9*C9</f>
        <v>1512.1144961999998</v>
      </c>
      <c r="E9" s="142"/>
      <c r="F9" s="143">
        <f aca="true" t="shared" si="0" ref="F9">$B9*E9</f>
        <v>0</v>
      </c>
      <c r="G9" s="142"/>
      <c r="H9" s="143">
        <f aca="true" t="shared" si="1" ref="H9:H23">$B9*G9</f>
        <v>0</v>
      </c>
      <c r="I9" s="142"/>
      <c r="J9" s="143">
        <f aca="true" t="shared" si="2" ref="J9:J23">$B9*I9</f>
        <v>0</v>
      </c>
    </row>
    <row r="10" spans="1:10" ht="15">
      <c r="A10" s="138" t="str">
        <f>Orçamento!C15</f>
        <v>DEMOLIÇÕES</v>
      </c>
      <c r="B10" s="141">
        <f>Orçamento!H29</f>
        <v>28020.70653228</v>
      </c>
      <c r="C10" s="142">
        <v>1</v>
      </c>
      <c r="D10" s="143">
        <f aca="true" t="shared" si="3" ref="D10:D23">$B10*C10</f>
        <v>28020.70653228</v>
      </c>
      <c r="E10" s="142"/>
      <c r="F10" s="143">
        <f aca="true" t="shared" si="4" ref="F10">$B10*E10</f>
        <v>0</v>
      </c>
      <c r="G10" s="142"/>
      <c r="H10" s="143">
        <f t="shared" si="1"/>
        <v>0</v>
      </c>
      <c r="I10" s="142"/>
      <c r="J10" s="143">
        <f t="shared" si="2"/>
        <v>0</v>
      </c>
    </row>
    <row r="11" spans="1:10" ht="15">
      <c r="A11" s="138" t="str">
        <f>Orçamento!C30</f>
        <v>PAREDES E VEDAÇÕES</v>
      </c>
      <c r="B11" s="141">
        <f>Orçamento!H37</f>
        <v>40892.54643895411</v>
      </c>
      <c r="C11" s="142">
        <v>1</v>
      </c>
      <c r="D11" s="143">
        <f t="shared" si="3"/>
        <v>40892.54643895411</v>
      </c>
      <c r="E11" s="142"/>
      <c r="F11" s="143">
        <f aca="true" t="shared" si="5" ref="F11">$B11*E11</f>
        <v>0</v>
      </c>
      <c r="G11" s="142"/>
      <c r="H11" s="143">
        <f t="shared" si="1"/>
        <v>0</v>
      </c>
      <c r="I11" s="142"/>
      <c r="J11" s="143">
        <f t="shared" si="2"/>
        <v>0</v>
      </c>
    </row>
    <row r="12" spans="1:10" ht="15">
      <c r="A12" s="138" t="str">
        <f>Orçamento!C38</f>
        <v>FORROS</v>
      </c>
      <c r="B12" s="141">
        <f>Orçamento!H41</f>
        <v>35199.619083089994</v>
      </c>
      <c r="C12" s="142"/>
      <c r="D12" s="143">
        <f t="shared" si="3"/>
        <v>0</v>
      </c>
      <c r="E12" s="142"/>
      <c r="F12" s="143">
        <f aca="true" t="shared" si="6" ref="F12">$B12*E12</f>
        <v>0</v>
      </c>
      <c r="G12" s="142">
        <v>0.7</v>
      </c>
      <c r="H12" s="143">
        <f t="shared" si="1"/>
        <v>24639.733358162994</v>
      </c>
      <c r="I12" s="142">
        <v>0.3</v>
      </c>
      <c r="J12" s="143">
        <f t="shared" si="2"/>
        <v>10559.885724926999</v>
      </c>
    </row>
    <row r="13" spans="1:10" ht="15">
      <c r="A13" s="138" t="str">
        <f>Orçamento!C42</f>
        <v>PAVIMENTAÇÃO INTERNA</v>
      </c>
      <c r="B13" s="141">
        <f>Orçamento!H48</f>
        <v>91405.99630403999</v>
      </c>
      <c r="C13" s="142"/>
      <c r="D13" s="143">
        <f t="shared" si="3"/>
        <v>0</v>
      </c>
      <c r="E13" s="142">
        <v>0.5</v>
      </c>
      <c r="F13" s="143">
        <f aca="true" t="shared" si="7" ref="F13">$B13*E13</f>
        <v>45702.998152019994</v>
      </c>
      <c r="G13" s="142">
        <v>0.5</v>
      </c>
      <c r="H13" s="143">
        <f t="shared" si="1"/>
        <v>45702.998152019994</v>
      </c>
      <c r="I13" s="142"/>
      <c r="J13" s="143">
        <f t="shared" si="2"/>
        <v>0</v>
      </c>
    </row>
    <row r="14" spans="1:10" ht="15">
      <c r="A14" s="138" t="str">
        <f>Orçamento!C49</f>
        <v>IMPERMEABILIZAÇÕES</v>
      </c>
      <c r="B14" s="141">
        <f>Orçamento!H54</f>
        <v>3946.4009362799998</v>
      </c>
      <c r="C14" s="142"/>
      <c r="D14" s="143">
        <f t="shared" si="3"/>
        <v>0</v>
      </c>
      <c r="E14" s="142">
        <v>1</v>
      </c>
      <c r="F14" s="143">
        <f aca="true" t="shared" si="8" ref="F14">$B14*E14</f>
        <v>3946.4009362799998</v>
      </c>
      <c r="G14" s="142"/>
      <c r="H14" s="143">
        <f t="shared" si="1"/>
        <v>0</v>
      </c>
      <c r="I14" s="142"/>
      <c r="J14" s="143">
        <f t="shared" si="2"/>
        <v>0</v>
      </c>
    </row>
    <row r="15" spans="1:10" ht="15">
      <c r="A15" s="138" t="str">
        <f>Orçamento!C55</f>
        <v>REVESTIMENTOS</v>
      </c>
      <c r="B15" s="141">
        <f>Orçamento!H59</f>
        <v>21511.219534199998</v>
      </c>
      <c r="C15" s="142"/>
      <c r="D15" s="143">
        <f t="shared" si="3"/>
        <v>0</v>
      </c>
      <c r="E15" s="142">
        <v>0.5</v>
      </c>
      <c r="F15" s="143">
        <f aca="true" t="shared" si="9" ref="F15">$B15*E15</f>
        <v>10755.609767099999</v>
      </c>
      <c r="G15" s="142">
        <v>0.5</v>
      </c>
      <c r="H15" s="143">
        <f t="shared" si="1"/>
        <v>10755.609767099999</v>
      </c>
      <c r="I15" s="142"/>
      <c r="J15" s="143">
        <f t="shared" si="2"/>
        <v>0</v>
      </c>
    </row>
    <row r="16" spans="1:10" ht="15">
      <c r="A16" s="138" t="str">
        <f>Orçamento!C60</f>
        <v>ESQUADRIAS</v>
      </c>
      <c r="B16" s="141">
        <f>Orçamento!H64</f>
        <v>19202.130783</v>
      </c>
      <c r="C16" s="142"/>
      <c r="D16" s="143">
        <f t="shared" si="3"/>
        <v>0</v>
      </c>
      <c r="E16" s="142"/>
      <c r="F16" s="143">
        <f aca="true" t="shared" si="10" ref="F16">$B16*E16</f>
        <v>0</v>
      </c>
      <c r="G16" s="142">
        <v>0.8</v>
      </c>
      <c r="H16" s="143">
        <f t="shared" si="1"/>
        <v>15361.704626400002</v>
      </c>
      <c r="I16" s="142">
        <v>0.2</v>
      </c>
      <c r="J16" s="143">
        <f t="shared" si="2"/>
        <v>3840.4261566000005</v>
      </c>
    </row>
    <row r="17" spans="1:10" ht="15">
      <c r="A17" s="138" t="str">
        <f>Orçamento!C65</f>
        <v>INSTALAÇÕES HIDROSSANITÁRIAS</v>
      </c>
      <c r="B17" s="141">
        <f>Orçamento!H89</f>
        <v>46615.85109719999</v>
      </c>
      <c r="C17" s="142">
        <v>0.2</v>
      </c>
      <c r="D17" s="143">
        <f t="shared" si="3"/>
        <v>9323.170219439999</v>
      </c>
      <c r="E17" s="142">
        <v>0.3</v>
      </c>
      <c r="F17" s="143">
        <f aca="true" t="shared" si="11" ref="F17">$B17*E17</f>
        <v>13984.755329159998</v>
      </c>
      <c r="G17" s="142">
        <v>0.4</v>
      </c>
      <c r="H17" s="143">
        <f t="shared" si="1"/>
        <v>18646.340438879997</v>
      </c>
      <c r="I17" s="142">
        <v>0.1</v>
      </c>
      <c r="J17" s="143">
        <f t="shared" si="2"/>
        <v>4661.585109719999</v>
      </c>
    </row>
    <row r="18" spans="1:10" ht="27">
      <c r="A18" s="138" t="str">
        <f>Orçamento!C90</f>
        <v>INSTALAÇÕES ELÉTRICAS / TELEFONE</v>
      </c>
      <c r="B18" s="141">
        <f>Orçamento!H159</f>
        <v>238252.928067</v>
      </c>
      <c r="C18" s="142"/>
      <c r="D18" s="143">
        <f t="shared" si="3"/>
        <v>0</v>
      </c>
      <c r="E18" s="142">
        <v>0.5</v>
      </c>
      <c r="F18" s="143">
        <f aca="true" t="shared" si="12" ref="F18">$B18*E18</f>
        <v>119126.4640335</v>
      </c>
      <c r="G18" s="142">
        <v>0.4</v>
      </c>
      <c r="H18" s="143">
        <f t="shared" si="1"/>
        <v>95301.17122680001</v>
      </c>
      <c r="I18" s="142">
        <v>0.1</v>
      </c>
      <c r="J18" s="143">
        <f t="shared" si="2"/>
        <v>23825.292806700003</v>
      </c>
    </row>
    <row r="19" spans="1:10" ht="15">
      <c r="A19" s="138" t="str">
        <f>Orçamento!C160</f>
        <v>PINTURA</v>
      </c>
      <c r="B19" s="141">
        <f>Orçamento!H167</f>
        <v>31271.580520488</v>
      </c>
      <c r="C19" s="142"/>
      <c r="D19" s="143">
        <f t="shared" si="3"/>
        <v>0</v>
      </c>
      <c r="E19" s="142"/>
      <c r="F19" s="143">
        <f aca="true" t="shared" si="13" ref="F19">$B19*E19</f>
        <v>0</v>
      </c>
      <c r="G19" s="142">
        <v>0.6</v>
      </c>
      <c r="H19" s="143">
        <f t="shared" si="1"/>
        <v>18762.9483122928</v>
      </c>
      <c r="I19" s="142">
        <v>0.4</v>
      </c>
      <c r="J19" s="143">
        <f t="shared" si="2"/>
        <v>12508.632208195202</v>
      </c>
    </row>
    <row r="20" spans="1:10" ht="15">
      <c r="A20" s="138" t="str">
        <f>Orçamento!C168</f>
        <v>COMPLEMENTARES</v>
      </c>
      <c r="B20" s="141">
        <f>Orçamento!H175</f>
        <v>4765.192145999999</v>
      </c>
      <c r="C20" s="142"/>
      <c r="D20" s="143">
        <f t="shared" si="3"/>
        <v>0</v>
      </c>
      <c r="E20" s="142"/>
      <c r="F20" s="143">
        <f aca="true" t="shared" si="14" ref="F20">$B20*E20</f>
        <v>0</v>
      </c>
      <c r="G20" s="142">
        <v>0.3</v>
      </c>
      <c r="H20" s="143">
        <f t="shared" si="1"/>
        <v>1429.5576437999998</v>
      </c>
      <c r="I20" s="142">
        <v>0.7</v>
      </c>
      <c r="J20" s="143">
        <f t="shared" si="2"/>
        <v>3335.6345021999996</v>
      </c>
    </row>
    <row r="21" spans="1:10" ht="15">
      <c r="A21" s="138" t="str">
        <f>Orçamento!C176</f>
        <v>REDE DE GASES MEDICINAIS</v>
      </c>
      <c r="B21" s="141">
        <f>Orçamento!H190</f>
        <v>72337.9247514</v>
      </c>
      <c r="C21" s="142"/>
      <c r="D21" s="143">
        <f t="shared" si="3"/>
        <v>0</v>
      </c>
      <c r="E21" s="142"/>
      <c r="F21" s="143">
        <f aca="true" t="shared" si="15" ref="F21">$B21*E21</f>
        <v>0</v>
      </c>
      <c r="G21" s="142">
        <v>1</v>
      </c>
      <c r="H21" s="143">
        <f t="shared" si="1"/>
        <v>72337.9247514</v>
      </c>
      <c r="I21" s="142"/>
      <c r="J21" s="143">
        <f t="shared" si="2"/>
        <v>0</v>
      </c>
    </row>
    <row r="22" spans="1:10" ht="15">
      <c r="A22" s="138" t="str">
        <f>Orçamento!C191</f>
        <v>SISTEMA DE CLIMATIZAÇÃO</v>
      </c>
      <c r="B22" s="141">
        <f>Orçamento!H195</f>
        <v>31944.1023</v>
      </c>
      <c r="C22" s="142"/>
      <c r="D22" s="143">
        <f aca="true" t="shared" si="16" ref="D22">$B22*C22</f>
        <v>0</v>
      </c>
      <c r="E22" s="142"/>
      <c r="F22" s="143">
        <f aca="true" t="shared" si="17" ref="F22">$B22*E22</f>
        <v>0</v>
      </c>
      <c r="G22" s="142">
        <v>0.5</v>
      </c>
      <c r="H22" s="143">
        <f t="shared" si="1"/>
        <v>15972.05115</v>
      </c>
      <c r="I22" s="142">
        <v>0.5</v>
      </c>
      <c r="J22" s="143">
        <f t="shared" si="2"/>
        <v>15972.05115</v>
      </c>
    </row>
    <row r="23" spans="1:10" ht="15">
      <c r="A23" s="138" t="str">
        <f>Orçamento!C196</f>
        <v>ADMINISTRAÇÃO LOCAL</v>
      </c>
      <c r="B23" s="141">
        <f>Orçamento!H199</f>
        <v>88685.09337599999</v>
      </c>
      <c r="C23" s="195">
        <v>0.095</v>
      </c>
      <c r="D23" s="143">
        <f t="shared" si="3"/>
        <v>8425.083870719998</v>
      </c>
      <c r="E23" s="195">
        <v>0.314</v>
      </c>
      <c r="F23" s="143">
        <f aca="true" t="shared" si="18" ref="F23">$B23*E23</f>
        <v>27847.119320063997</v>
      </c>
      <c r="G23" s="195">
        <v>0.494</v>
      </c>
      <c r="H23" s="143">
        <f t="shared" si="1"/>
        <v>43810.436127744</v>
      </c>
      <c r="I23" s="195">
        <v>0.097</v>
      </c>
      <c r="J23" s="143">
        <f t="shared" si="2"/>
        <v>8602.454057472</v>
      </c>
    </row>
    <row r="24" spans="1:10" ht="15">
      <c r="A24" s="139" t="s">
        <v>162</v>
      </c>
      <c r="B24" s="144">
        <f>SUM(B9:B23)</f>
        <v>755563.406366132</v>
      </c>
      <c r="C24" s="145"/>
      <c r="D24" s="146">
        <f>SUM(D9:D23)</f>
        <v>88173.62155759412</v>
      </c>
      <c r="E24" s="145"/>
      <c r="F24" s="146">
        <f aca="true" t="shared" si="19" ref="F24">SUM(F9:F23)</f>
        <v>221363.34753812398</v>
      </c>
      <c r="G24" s="145"/>
      <c r="H24" s="146">
        <f aca="true" t="shared" si="20" ref="H24:J24">SUM(H9:H23)</f>
        <v>362720.47555459983</v>
      </c>
      <c r="I24" s="145"/>
      <c r="J24" s="146">
        <f t="shared" si="20"/>
        <v>83305.9617158142</v>
      </c>
    </row>
    <row r="25" spans="1:10" ht="15">
      <c r="A25" s="139" t="s">
        <v>324</v>
      </c>
      <c r="B25" s="140"/>
      <c r="C25" s="145"/>
      <c r="D25" s="146">
        <f>D24</f>
        <v>88173.62155759412</v>
      </c>
      <c r="E25" s="145"/>
      <c r="F25" s="146">
        <f>F24+D25</f>
        <v>309536.9690957181</v>
      </c>
      <c r="G25" s="145"/>
      <c r="H25" s="146">
        <f>H24+F25</f>
        <v>672257.444650318</v>
      </c>
      <c r="I25" s="145"/>
      <c r="J25" s="146">
        <f>J24+H25</f>
        <v>755563.4063661322</v>
      </c>
    </row>
    <row r="27" ht="15">
      <c r="G27" s="196"/>
    </row>
  </sheetData>
  <mergeCells count="4">
    <mergeCell ref="C8:D8"/>
    <mergeCell ref="E8:F8"/>
    <mergeCell ref="G8:H8"/>
    <mergeCell ref="I8:J8"/>
  </mergeCells>
  <printOptions/>
  <pageMargins left="0.9055118110236221" right="0.9055118110236221" top="0.7874015748031497" bottom="0.7874015748031497" header="0.31496062992125984" footer="0.31496062992125984"/>
  <pageSetup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paula massochin</dc:creator>
  <cp:keywords/>
  <dc:description/>
  <cp:lastModifiedBy>pedro.muller</cp:lastModifiedBy>
  <cp:lastPrinted>2022-05-31T13:41:45Z</cp:lastPrinted>
  <dcterms:created xsi:type="dcterms:W3CDTF">2022-02-11T12:40:40Z</dcterms:created>
  <dcterms:modified xsi:type="dcterms:W3CDTF">2022-06-03T14:14:05Z</dcterms:modified>
  <cp:category/>
  <cp:version/>
  <cp:contentType/>
  <cp:contentStatus/>
  <cp:revision>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