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Orçamento" sheetId="3" r:id="rId1"/>
    <sheet name="Encargos Sociais" sheetId="6" r:id="rId2"/>
    <sheet name="Composições" sheetId="4" r:id="rId3"/>
    <sheet name="Composições Elétricas" sheetId="5" r:id="rId4"/>
    <sheet name="Cálculo BDI" sheetId="7" r:id="rId5"/>
    <sheet name="Cronograma" sheetId="8" r:id="rId6"/>
  </sheets>
  <externalReferences>
    <externalReference r:id="rId7"/>
  </externalReferences>
  <definedNames>
    <definedName name="_xlnm.Print_Area" localSheetId="4">'Cálculo BDI'!$A$1:$O$42</definedName>
    <definedName name="_xlnm.Print_Area" localSheetId="5">Cronograma!$A$1:$H$24</definedName>
    <definedName name="_xlnm.Print_Area" localSheetId="0">Orçamento!$A$1:$H$194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5" i="3"/>
  <c r="H155"/>
  <c r="A22" i="8" l="1"/>
  <c r="A21"/>
  <c r="A20"/>
  <c r="A19"/>
  <c r="A18"/>
  <c r="A17"/>
  <c r="A16"/>
  <c r="A15"/>
  <c r="A14"/>
  <c r="A13"/>
  <c r="A12"/>
  <c r="A11"/>
  <c r="A10"/>
  <c r="A9"/>
  <c r="G185" i="3" l="1"/>
  <c r="G184"/>
  <c r="G181"/>
  <c r="G180"/>
  <c r="G179"/>
  <c r="G178"/>
  <c r="G177"/>
  <c r="G176"/>
  <c r="G175"/>
  <c r="G174"/>
  <c r="G173"/>
  <c r="G172"/>
  <c r="G171"/>
  <c r="G170"/>
  <c r="G168"/>
  <c r="G167"/>
  <c r="G166"/>
  <c r="G165"/>
  <c r="G164"/>
  <c r="G163"/>
  <c r="G162"/>
  <c r="G161"/>
  <c r="G160"/>
  <c r="G157"/>
  <c r="G156"/>
  <c r="G153"/>
  <c r="G152"/>
  <c r="G151"/>
  <c r="G150"/>
  <c r="G149"/>
  <c r="G145"/>
  <c r="G144"/>
  <c r="G143"/>
  <c r="G142"/>
  <c r="G141"/>
  <c r="G140"/>
  <c r="G139"/>
  <c r="G138"/>
  <c r="G137"/>
  <c r="G136"/>
  <c r="G135"/>
  <c r="G134"/>
  <c r="G133"/>
  <c r="G132"/>
  <c r="G131"/>
  <c r="G129"/>
  <c r="G128"/>
  <c r="G127"/>
  <c r="G126"/>
  <c r="G125"/>
  <c r="G124"/>
  <c r="G123"/>
  <c r="G122"/>
  <c r="G121"/>
  <c r="G120"/>
  <c r="G119"/>
  <c r="G118"/>
  <c r="G117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0"/>
  <c r="G79"/>
  <c r="G76"/>
  <c r="G75"/>
  <c r="G74"/>
  <c r="G73"/>
  <c r="G72"/>
  <c r="G71"/>
  <c r="G70"/>
  <c r="G69"/>
  <c r="G68"/>
  <c r="G67"/>
  <c r="G63"/>
  <c r="G62"/>
  <c r="G61"/>
  <c r="G58"/>
  <c r="G57"/>
  <c r="G56"/>
  <c r="H56" s="1"/>
  <c r="G52"/>
  <c r="G49"/>
  <c r="G48"/>
  <c r="G47"/>
  <c r="G46"/>
  <c r="G45"/>
  <c r="G44"/>
  <c r="G43"/>
  <c r="G42"/>
  <c r="G39"/>
  <c r="G38"/>
  <c r="G37"/>
  <c r="G34"/>
  <c r="G33"/>
  <c r="G30"/>
  <c r="G27"/>
  <c r="G26"/>
  <c r="G25"/>
  <c r="G24"/>
  <c r="G21"/>
  <c r="G20"/>
  <c r="G19"/>
  <c r="G18"/>
  <c r="G15"/>
  <c r="G14"/>
  <c r="E29" i="7"/>
  <c r="E20"/>
  <c r="D32" s="1"/>
  <c r="D15"/>
  <c r="D48" i="6"/>
  <c r="D51" s="1"/>
  <c r="C48"/>
  <c r="D41"/>
  <c r="C41"/>
  <c r="C51" s="1"/>
  <c r="D31"/>
  <c r="C31"/>
  <c r="D16"/>
  <c r="C16"/>
  <c r="O142" i="5" l="1"/>
  <c r="G142"/>
  <c r="O141"/>
  <c r="O143" s="1"/>
  <c r="O137"/>
  <c r="O136"/>
  <c r="O135"/>
  <c r="O138" s="1"/>
  <c r="O131"/>
  <c r="O130"/>
  <c r="O129"/>
  <c r="O132" s="1"/>
  <c r="O125"/>
  <c r="O124"/>
  <c r="O123"/>
  <c r="O126" s="1"/>
  <c r="O122"/>
  <c r="O118"/>
  <c r="O117"/>
  <c r="O116"/>
  <c r="O115"/>
  <c r="O114"/>
  <c r="O113"/>
  <c r="O112"/>
  <c r="O108"/>
  <c r="O107"/>
  <c r="O106"/>
  <c r="O105"/>
  <c r="O104"/>
  <c r="O103"/>
  <c r="O102"/>
  <c r="O98"/>
  <c r="O97"/>
  <c r="O96"/>
  <c r="O95"/>
  <c r="O94"/>
  <c r="O93"/>
  <c r="O92"/>
  <c r="O88"/>
  <c r="O87"/>
  <c r="O86"/>
  <c r="O85"/>
  <c r="O84"/>
  <c r="O83"/>
  <c r="O82"/>
  <c r="O78"/>
  <c r="O77"/>
  <c r="O76"/>
  <c r="G76"/>
  <c r="O75"/>
  <c r="O79" s="1"/>
  <c r="O71"/>
  <c r="O70"/>
  <c r="O69"/>
  <c r="O72" s="1"/>
  <c r="O68"/>
  <c r="O64"/>
  <c r="O63"/>
  <c r="O62"/>
  <c r="O61"/>
  <c r="O57"/>
  <c r="O56"/>
  <c r="O55"/>
  <c r="O58" s="1"/>
  <c r="O54"/>
  <c r="O50"/>
  <c r="O49"/>
  <c r="O48"/>
  <c r="G48"/>
  <c r="O47"/>
  <c r="O51" s="1"/>
  <c r="O43"/>
  <c r="O42"/>
  <c r="O41"/>
  <c r="O44" s="1"/>
  <c r="O40"/>
  <c r="O36"/>
  <c r="O35"/>
  <c r="O34"/>
  <c r="O33"/>
  <c r="O32"/>
  <c r="O31"/>
  <c r="O27"/>
  <c r="O26"/>
  <c r="O25"/>
  <c r="O24"/>
  <c r="O23"/>
  <c r="O22"/>
  <c r="O21"/>
  <c r="O28" s="1"/>
  <c r="O17"/>
  <c r="O16"/>
  <c r="O15"/>
  <c r="O14"/>
  <c r="O12"/>
  <c r="O8"/>
  <c r="O7"/>
  <c r="O6"/>
  <c r="O5"/>
  <c r="G194" i="4"/>
  <c r="G193"/>
  <c r="G192"/>
  <c r="G191"/>
  <c r="G195" s="1"/>
  <c r="G190"/>
  <c r="G189"/>
  <c r="G183"/>
  <c r="G182"/>
  <c r="G181"/>
  <c r="G180"/>
  <c r="G184" s="1"/>
  <c r="G179"/>
  <c r="G178"/>
  <c r="G172"/>
  <c r="G171"/>
  <c r="G170"/>
  <c r="G169"/>
  <c r="G168"/>
  <c r="G167"/>
  <c r="G160"/>
  <c r="G159"/>
  <c r="G158"/>
  <c r="E157"/>
  <c r="G162" s="1"/>
  <c r="G153"/>
  <c r="G152"/>
  <c r="G151"/>
  <c r="G146"/>
  <c r="G145"/>
  <c r="G144"/>
  <c r="G143"/>
  <c r="G142"/>
  <c r="G147" s="1"/>
  <c r="G136"/>
  <c r="G135"/>
  <c r="G134"/>
  <c r="G133"/>
  <c r="G137" s="1"/>
  <c r="G132"/>
  <c r="E131"/>
  <c r="G131" s="1"/>
  <c r="G126"/>
  <c r="G125"/>
  <c r="G124"/>
  <c r="G123"/>
  <c r="G122"/>
  <c r="E121"/>
  <c r="G121" s="1"/>
  <c r="E120"/>
  <c r="G120" s="1"/>
  <c r="G127" s="1"/>
  <c r="G115"/>
  <c r="G114"/>
  <c r="G113"/>
  <c r="G108"/>
  <c r="G107"/>
  <c r="G106"/>
  <c r="G105"/>
  <c r="E101"/>
  <c r="G101" s="1"/>
  <c r="G100"/>
  <c r="E100"/>
  <c r="E96"/>
  <c r="G96" s="1"/>
  <c r="G95" s="1"/>
  <c r="E92"/>
  <c r="G92" s="1"/>
  <c r="G91"/>
  <c r="E85"/>
  <c r="G85" s="1"/>
  <c r="G84"/>
  <c r="G83" s="1"/>
  <c r="E79"/>
  <c r="G79" s="1"/>
  <c r="G78"/>
  <c r="E74"/>
  <c r="G74" s="1"/>
  <c r="G73"/>
  <c r="G72" s="1"/>
  <c r="G68"/>
  <c r="G67"/>
  <c r="G64"/>
  <c r="G63"/>
  <c r="G62"/>
  <c r="G61"/>
  <c r="G60"/>
  <c r="G59"/>
  <c r="G58"/>
  <c r="G57"/>
  <c r="G56"/>
  <c r="G55"/>
  <c r="G54"/>
  <c r="G53"/>
  <c r="G52" s="1"/>
  <c r="G47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23"/>
  <c r="G22"/>
  <c r="G21"/>
  <c r="G20"/>
  <c r="G19"/>
  <c r="G14"/>
  <c r="G13"/>
  <c r="G12"/>
  <c r="G11"/>
  <c r="G10"/>
  <c r="G9"/>
  <c r="G8"/>
  <c r="G7"/>
  <c r="G6"/>
  <c r="G2" s="1"/>
  <c r="G5"/>
  <c r="G4"/>
  <c r="G3"/>
  <c r="D184" i="3"/>
  <c r="H184" s="1"/>
  <c r="H181"/>
  <c r="H180"/>
  <c r="H179"/>
  <c r="H178"/>
  <c r="H177"/>
  <c r="H176"/>
  <c r="H175"/>
  <c r="H174"/>
  <c r="D173"/>
  <c r="H173" s="1"/>
  <c r="D172"/>
  <c r="H172" s="1"/>
  <c r="D171"/>
  <c r="H171" s="1"/>
  <c r="D168"/>
  <c r="H168" s="1"/>
  <c r="D167"/>
  <c r="H167" s="1"/>
  <c r="H166"/>
  <c r="H165"/>
  <c r="H164"/>
  <c r="H163"/>
  <c r="H162"/>
  <c r="H161"/>
  <c r="H160"/>
  <c r="H157"/>
  <c r="H156"/>
  <c r="H153"/>
  <c r="H152"/>
  <c r="H151"/>
  <c r="H150"/>
  <c r="H149"/>
  <c r="H145"/>
  <c r="H144"/>
  <c r="H143"/>
  <c r="H142"/>
  <c r="H141"/>
  <c r="H140"/>
  <c r="H139"/>
  <c r="H138"/>
  <c r="H137"/>
  <c r="H136"/>
  <c r="H135"/>
  <c r="H134"/>
  <c r="H133"/>
  <c r="D132"/>
  <c r="H132" s="1"/>
  <c r="H131"/>
  <c r="H129"/>
  <c r="H128"/>
  <c r="H127"/>
  <c r="H126"/>
  <c r="H125"/>
  <c r="H124"/>
  <c r="H123"/>
  <c r="H122"/>
  <c r="H121"/>
  <c r="H120"/>
  <c r="H119"/>
  <c r="H118"/>
  <c r="H117"/>
  <c r="D115"/>
  <c r="H115" s="1"/>
  <c r="D114"/>
  <c r="H114" s="1"/>
  <c r="D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0"/>
  <c r="H79"/>
  <c r="F78"/>
  <c r="G78" s="1"/>
  <c r="H78" s="1"/>
  <c r="F77"/>
  <c r="D76"/>
  <c r="H76" s="1"/>
  <c r="H75"/>
  <c r="H74"/>
  <c r="H73"/>
  <c r="H72"/>
  <c r="H71"/>
  <c r="H70"/>
  <c r="H69"/>
  <c r="D68"/>
  <c r="H68" s="1"/>
  <c r="H67"/>
  <c r="F66"/>
  <c r="G66" s="1"/>
  <c r="H66" s="1"/>
  <c r="F65"/>
  <c r="H63"/>
  <c r="H62"/>
  <c r="H61"/>
  <c r="F59"/>
  <c r="G59" s="1"/>
  <c r="H59" s="1"/>
  <c r="H58"/>
  <c r="H57"/>
  <c r="H52"/>
  <c r="H53" s="1"/>
  <c r="B16" i="8" s="1"/>
  <c r="H49" i="3"/>
  <c r="D48"/>
  <c r="H48" s="1"/>
  <c r="H47"/>
  <c r="H46"/>
  <c r="H45"/>
  <c r="H44"/>
  <c r="H43"/>
  <c r="H42"/>
  <c r="H39"/>
  <c r="H38"/>
  <c r="H37"/>
  <c r="H34"/>
  <c r="H33"/>
  <c r="H30"/>
  <c r="H31" s="1"/>
  <c r="B12" i="8" s="1"/>
  <c r="H27" i="3"/>
  <c r="H26"/>
  <c r="H25"/>
  <c r="H24"/>
  <c r="H19"/>
  <c r="D20"/>
  <c r="D21" s="1"/>
  <c r="H21" s="1"/>
  <c r="H15"/>
  <c r="H14"/>
  <c r="H182" l="1"/>
  <c r="B21" i="8" s="1"/>
  <c r="D21" s="1"/>
  <c r="F12"/>
  <c r="D12"/>
  <c r="H12"/>
  <c r="F16"/>
  <c r="D16"/>
  <c r="H16"/>
  <c r="H158" i="3"/>
  <c r="B19" i="8" s="1"/>
  <c r="H21"/>
  <c r="H169" i="3"/>
  <c r="B20" i="8" s="1"/>
  <c r="H18" i="3"/>
  <c r="H35"/>
  <c r="B13" i="8" s="1"/>
  <c r="H28" i="3"/>
  <c r="B11" i="8" s="1"/>
  <c r="H16" i="3"/>
  <c r="G77"/>
  <c r="H77" s="1"/>
  <c r="G65"/>
  <c r="H65" s="1"/>
  <c r="H40"/>
  <c r="B14" i="8" s="1"/>
  <c r="H50" i="3"/>
  <c r="B15" i="8" s="1"/>
  <c r="H20" i="3"/>
  <c r="H22" s="1"/>
  <c r="B10" i="8" s="1"/>
  <c r="G43" i="5"/>
  <c r="G41"/>
  <c r="G42"/>
  <c r="G39"/>
  <c r="G40"/>
  <c r="O18"/>
  <c r="G57"/>
  <c r="G55"/>
  <c r="G54"/>
  <c r="G56"/>
  <c r="G53"/>
  <c r="G71"/>
  <c r="G69"/>
  <c r="G70"/>
  <c r="G67"/>
  <c r="G68"/>
  <c r="G128"/>
  <c r="G131"/>
  <c r="G129"/>
  <c r="G130"/>
  <c r="G134"/>
  <c r="G137"/>
  <c r="G135"/>
  <c r="G136"/>
  <c r="G20"/>
  <c r="N13" s="1"/>
  <c r="O13" s="1"/>
  <c r="G27"/>
  <c r="G25"/>
  <c r="G23"/>
  <c r="G21"/>
  <c r="G26"/>
  <c r="G24"/>
  <c r="G22"/>
  <c r="G125"/>
  <c r="G123"/>
  <c r="G122"/>
  <c r="G124"/>
  <c r="G121"/>
  <c r="G140"/>
  <c r="G141"/>
  <c r="H113" i="3"/>
  <c r="H146" s="1"/>
  <c r="B18" i="8" s="1"/>
  <c r="D185" i="3"/>
  <c r="H185" s="1"/>
  <c r="H186" s="1"/>
  <c r="B22" i="8" s="1"/>
  <c r="G35" i="4"/>
  <c r="G109"/>
  <c r="G116"/>
  <c r="G154"/>
  <c r="G157"/>
  <c r="G161" s="1"/>
  <c r="G163" s="1"/>
  <c r="O9" i="5"/>
  <c r="O65"/>
  <c r="G46"/>
  <c r="G49"/>
  <c r="G47"/>
  <c r="G74"/>
  <c r="G77"/>
  <c r="G75"/>
  <c r="G99" i="4"/>
  <c r="G50" i="5"/>
  <c r="G78"/>
  <c r="O89"/>
  <c r="O99"/>
  <c r="O109"/>
  <c r="O119"/>
  <c r="G18" i="4"/>
  <c r="G77"/>
  <c r="G90"/>
  <c r="G173"/>
  <c r="O37" i="5"/>
  <c r="F21" i="8" l="1"/>
  <c r="D18"/>
  <c r="H18"/>
  <c r="F18"/>
  <c r="D22"/>
  <c r="H22"/>
  <c r="F22"/>
  <c r="H13"/>
  <c r="F13"/>
  <c r="D13"/>
  <c r="D14"/>
  <c r="F14"/>
  <c r="H14"/>
  <c r="F20"/>
  <c r="D20"/>
  <c r="H20"/>
  <c r="D19"/>
  <c r="H19"/>
  <c r="F19"/>
  <c r="D11"/>
  <c r="F11"/>
  <c r="H11"/>
  <c r="B9"/>
  <c r="D10"/>
  <c r="F10"/>
  <c r="H10"/>
  <c r="D15"/>
  <c r="F15"/>
  <c r="H15"/>
  <c r="H81" i="3"/>
  <c r="B17" i="8" s="1"/>
  <c r="G7" i="5"/>
  <c r="G5"/>
  <c r="G4"/>
  <c r="G8"/>
  <c r="G6"/>
  <c r="G87"/>
  <c r="G85"/>
  <c r="G83"/>
  <c r="G82"/>
  <c r="G88"/>
  <c r="G84"/>
  <c r="G81"/>
  <c r="G86"/>
  <c r="G13"/>
  <c r="G17"/>
  <c r="G15"/>
  <c r="G11"/>
  <c r="G16"/>
  <c r="G14"/>
  <c r="G12"/>
  <c r="G107"/>
  <c r="G105"/>
  <c r="G103"/>
  <c r="G102"/>
  <c r="G108"/>
  <c r="G104"/>
  <c r="G101"/>
  <c r="G106"/>
  <c r="G117"/>
  <c r="G115"/>
  <c r="G113"/>
  <c r="G112"/>
  <c r="G118"/>
  <c r="G114"/>
  <c r="G111"/>
  <c r="G116"/>
  <c r="G30"/>
  <c r="G35"/>
  <c r="G33"/>
  <c r="G31"/>
  <c r="G34"/>
  <c r="G32"/>
  <c r="G36"/>
  <c r="G60"/>
  <c r="G63"/>
  <c r="G61"/>
  <c r="G62"/>
  <c r="G64"/>
  <c r="G97"/>
  <c r="G95"/>
  <c r="G93"/>
  <c r="G92"/>
  <c r="G98"/>
  <c r="G94"/>
  <c r="G91"/>
  <c r="G96"/>
  <c r="H17" i="8" l="1"/>
  <c r="H23" s="1"/>
  <c r="F17"/>
  <c r="D17"/>
  <c r="H187" i="3"/>
  <c r="D9" i="8"/>
  <c r="F9"/>
  <c r="H9"/>
  <c r="B23"/>
  <c r="F23"/>
  <c r="D23" l="1"/>
  <c r="D24" s="1"/>
  <c r="F24" s="1"/>
  <c r="H24" s="1"/>
</calcChain>
</file>

<file path=xl/sharedStrings.xml><?xml version="1.0" encoding="utf-8"?>
<sst xmlns="http://schemas.openxmlformats.org/spreadsheetml/2006/main" count="2082" uniqueCount="693">
  <si>
    <t>PLANILHA ORÇAMENTÁRIA</t>
  </si>
  <si>
    <t>Obra.: REFORMA DO CENTRO OBSTÉTRICO E BERÇÁRIO DE CUIDADOS INTERMEDIÁRIOS DO HOSPITAL GETÚLIO VARGAS</t>
  </si>
  <si>
    <t>Endereço: Rua Pinheiro Machado, 331 - Bairro Dihel - Sapucaia do Sul/RS</t>
  </si>
  <si>
    <t>Área de Intervenção:  436,40m²</t>
  </si>
  <si>
    <t>Item</t>
  </si>
  <si>
    <t>Código</t>
  </si>
  <si>
    <t>Descrição</t>
  </si>
  <si>
    <t>Quantidade Contrato</t>
  </si>
  <si>
    <t>Un</t>
  </si>
  <si>
    <t>Vlr. Unitário</t>
  </si>
  <si>
    <t>Unit. Contrato c/ BDI</t>
  </si>
  <si>
    <t>Total contrato (c/BDI)</t>
  </si>
  <si>
    <t>SERVIÇOS INICIAIS</t>
  </si>
  <si>
    <t>1.1</t>
  </si>
  <si>
    <t>MÊS</t>
  </si>
  <si>
    <t>1.2</t>
  </si>
  <si>
    <t>M2</t>
  </si>
  <si>
    <t>1.3</t>
  </si>
  <si>
    <t>COTAÇÃO</t>
  </si>
  <si>
    <t xml:space="preserve">                                                     Total do Grupo</t>
  </si>
  <si>
    <t>DEMOLIÇÕES</t>
  </si>
  <si>
    <t>2.1</t>
  </si>
  <si>
    <t>DEMOLIÇÃO DE ALVENARIA DE TIJOLO MACIÇO, DE FORMA MANUAL, SEM REAPROVEITAMENTO</t>
  </si>
  <si>
    <t>M3</t>
  </si>
  <si>
    <t>2.2</t>
  </si>
  <si>
    <t>REMOÇÃO DE PORTAS, DE FORMA MANUAL, SEM REAPROVEITAMENTO. AF_12/2017</t>
  </si>
  <si>
    <t>2.3</t>
  </si>
  <si>
    <t>2.4</t>
  </si>
  <si>
    <t xml:space="preserve">UN </t>
  </si>
  <si>
    <t>COMPOSIÇÃO 32</t>
  </si>
  <si>
    <t>REMOÇÃO DAS INSTALAÇÕES ELÉTRICAS</t>
  </si>
  <si>
    <t>VB</t>
  </si>
  <si>
    <t>COMPOSIÇÃO 18</t>
  </si>
  <si>
    <t>3.1</t>
  </si>
  <si>
    <t>COMPOSIÇÃO 1</t>
  </si>
  <si>
    <t>3.2</t>
  </si>
  <si>
    <t>COMPOSIÇÃO 2</t>
  </si>
  <si>
    <t>3.3</t>
  </si>
  <si>
    <t>COMPOSIÇÃO 3</t>
  </si>
  <si>
    <t>3.4</t>
  </si>
  <si>
    <t>COMPOSIÇÃO 4</t>
  </si>
  <si>
    <t>PAVIMENTAÇÃO INTERNA</t>
  </si>
  <si>
    <t>4.1</t>
  </si>
  <si>
    <t xml:space="preserve">COTAÇÃO </t>
  </si>
  <si>
    <t>MANTA VINÍLICA  COM RODAPÉ BOLEADO, ESPESSURA 2MM, FIXADO COM COLA (fornecimento e instalação)</t>
  </si>
  <si>
    <t>REVESTIMENTO CERÂMICO PARA PISO COM PLACAS TIPO GRÊS DE DIMENSÕES 35X35 CM APLICADA EM AMBIENTES DE ÁREA MENOR QUE 5 M2. AF_06/2014</t>
  </si>
  <si>
    <t>RODAPÉ CERÂMICO DE 7CM DE ALTURA COM PLACAS TIPO ESMALTADA EXTRA DE DIMENSÕES 35X35CM. AF_06/2014</t>
  </si>
  <si>
    <t>M</t>
  </si>
  <si>
    <t>5.1</t>
  </si>
  <si>
    <t>IMPERMEABILIZAÇÃO DE SUPERFÍCIE COM IMPERMEABILIZANTE SEMI-FLEXIVEL (MAI), 3 DEMÃOS. AF_06/2018</t>
  </si>
  <si>
    <t>FORROS</t>
  </si>
  <si>
    <t>6.1</t>
  </si>
  <si>
    <t>FORRO EM DRYWALL, PARA AMBIENTES COMERCIAIS, INCLUSIVE ESTRUTURA DE FIXAÇÃO. AF_05/2007_P</t>
  </si>
  <si>
    <t>6.2</t>
  </si>
  <si>
    <t>ACABAMENTOS PARA FORRO (MOLDURA DE GESSO). AF_05/2017</t>
  </si>
  <si>
    <t>REVESTIMENTOS</t>
  </si>
  <si>
    <t>7.1</t>
  </si>
  <si>
    <t>REVESTIMENTO CERÂMICO PARA PAREDES INTERNAS COM PLACAS TIPO ESMALTADA EXTRA DE DIMENSÕES 20X20 CM APLICADAS EM AMBIENTES DE ÁREA MENOR QUE 5 M2 NA ALTURA INTEIRA DAS PAREDES. AF_06/2014</t>
  </si>
  <si>
    <t>7.2</t>
  </si>
  <si>
    <t>CHAPISCO APLICADO EM ALVENARIA E ESTRUTURAS DE CONCRETO, COM COLHER DE PEDREIRO. ARGAMASSA TRAÇO 1:3 COM PREPARO MANUAL. (fechamento de vãos)</t>
  </si>
  <si>
    <t>7.3</t>
  </si>
  <si>
    <t>MASSA ÚNICA, PARA RECEBIMENTO DE PINTURA, EM ARGAMASSA TRAÇO 1:2:8, PREPARO MANUAL, APLICADA MANUALMENTE EM FACES INTERNAS DE PAREDES, ESPESSURA DE 20MM, COM EXECUÇÃO DE TALISCAS (fechamento de vãos e paredes com remoção de azulejos p/ acab. de pintura)</t>
  </si>
  <si>
    <t>ESQUADRIAS</t>
  </si>
  <si>
    <t>8.1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</si>
  <si>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80X210CM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</t>
    </r>
  </si>
  <si>
    <t>UN</t>
  </si>
  <si>
    <r>
      <rPr>
        <sz val="14"/>
        <rFont val="Calibri"/>
        <family val="2"/>
        <charset val="1"/>
      </rPr>
      <t xml:space="preserve">KIT DE PORTA DE MADEIRA PARA PINTURA, SEMI-OCA (LEVE OU MÉDIA), PADRÃO MÉDIO, </t>
    </r>
    <r>
      <rPr>
        <b/>
        <sz val="14"/>
        <rFont val="Calibri"/>
        <family val="2"/>
        <charset val="1"/>
      </rPr>
      <t>90X210CM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</t>
    </r>
  </si>
  <si>
    <t>COMPOSIÇÃO 5</t>
  </si>
  <si>
    <t>COMPOSIÇÃO 6</t>
  </si>
  <si>
    <t>COMPOSIÇÃO 7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</si>
  <si>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100X250CM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 (INCLUSO  BANDEIRA FIXA E VIDRO TRANSP.4MM)</t>
    </r>
  </si>
  <si>
    <t>COMPOSIÇÃO 8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</si>
  <si>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110X250CM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 (INCLUSO  BANDEIRA FIXA E VIDRO TRANSP.4MM)</t>
    </r>
  </si>
  <si>
    <t>COMPOSIÇÃO 9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</si>
  <si>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160X250CM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(INCLUSO  BANDEIRA FIXA E VIDRO TRANSP.4MM, FECHO UNHA)</t>
    </r>
  </si>
  <si>
    <t>COMPOSIÇÃO 10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</si>
  <si>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200X250CM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(INCLUSO  BANDEIRA FIXA E VIDRO TRANSP.4MM, FECHO UNHA)</t>
    </r>
  </si>
  <si>
    <t>COMPOSIÇÃO 11</t>
  </si>
  <si>
    <t>ESQUADRIA VENEZIANA FIXA DE ALUMÍNIO (PARA VENTILAÇÃO DOS SANITÁRIOS)</t>
  </si>
  <si>
    <t>CAIXILHO FIXO, DE ALUMÍNIO, PARA VIDRO (VISOR nas paredes e portas)</t>
  </si>
  <si>
    <t>VIDRAÇARIA</t>
  </si>
  <si>
    <t>9.1</t>
  </si>
  <si>
    <t>INSTALAÇÕES HIDROSSANITÁRIAS</t>
  </si>
  <si>
    <t>ESGOTO</t>
  </si>
  <si>
    <t>10.1</t>
  </si>
  <si>
    <t>(COMPOSIÇÃO REPRESENTATIVA) DO SERVIÇO DE INSTALAÇÃO DE TUBO DE PVC, SÉRIE NORMAL, ESGOTO PREDIAL, DN 40MM (INSTALADO EM RAMAL DE DESCARGA OU RAMAL DE ESGOTO SANITÁRIO), INCLUSIVE CONEXÕES, CORTES E FIXAÇÕES PARA PRÉDIOS. AF_10/2015</t>
  </si>
  <si>
    <t>10.2</t>
  </si>
  <si>
    <t>(COMPOSIÇÃO REPRESENTATIVA) DO SERVIÇO DE INSTALAÇÃO DE TUBO DE PVC, SÉRIE NORMAL, ESGOTO PREDIAL, DN 50MM (INSTALADO EM RAMAL DE DESCARGA OU RAMAL DE ESGOTO SANITÁRIO), INCLUSIVE CONEXÕES, CORTES E FIXAÇÕES PARA PRÉDIOS. AF_10/2015</t>
  </si>
  <si>
    <t>10.3</t>
  </si>
  <si>
    <t>(COMPOSIÇÃO REPRESENTATIVA) DO SERVIÇO DE INST. TUBO PVC, SÉRIE N, ESGOTO PREDIAL, 100MM (INST.RAMAL DE ESG. SANIT., PRUMADA ESG. SANT., VENTILAÇÃO OU SUB-COLETOR AÉREO), INCL. CONEXÕES E CORTE E FIXAÇÕES PARA PRÉDIOS. AF_10/2015</t>
  </si>
  <si>
    <t>10.4</t>
  </si>
  <si>
    <t>89491+11732</t>
  </si>
  <si>
    <t>CAIXA SIFONADA, PVC, DN 150 X 150 X 50 MM, FORNECIDA E INSTALADA EM RAMAIS DE ENCAMINHAMENTO DE ÁGUA PLUVIAL. AF_12/2014 (incluso grelha cromada)</t>
  </si>
  <si>
    <t>10.5</t>
  </si>
  <si>
    <t>COMPOSIÇÃO REPRESENTATIVA) DO SERVIÇO DE INSTALAÇÃO DE TUBOS DE PVC, SOLDÁVEL, ÁGUA FRIA, DN 25 MM (INSTALADO EM RAMAL, SUB-RAMAL, RAMAL DE DISTRIBUIÇÃO OU PRUMADA), INCLUSIVE CONEXÕES, CORTES E FIXAÇÕES, PARA PRÉDIOS. AF_10/2015_P</t>
  </si>
  <si>
    <t>10.6</t>
  </si>
  <si>
    <t>REGISTRO DE PRESSÃO BRUTO, LATÃO, ROSCÁVEL, 3/4", COM ACABAMENTO E CANOPLA CROMADOS. FORNECIDO E INSTALADO EM RAMAL DE ÁGUA. AF_12/2014</t>
  </si>
  <si>
    <t>10.7</t>
  </si>
  <si>
    <t>REGISTRO DE GAVETA BRUTO, LATÃO, ROSCÁVEL, 3/4", COM ACABAMENTO E CANOPLA CROMADOS. FORNECIDO E INSTALADO EM RAMAL DE ÁGUA. AF_12/2014</t>
  </si>
  <si>
    <t>10.8</t>
  </si>
  <si>
    <t>86932 + 377</t>
  </si>
  <si>
    <t>VASO SANITÁRIO SIFONADO COM CAIXA ACOPLADA LOUÇA BRANCA - PADRÃO MÉDIO , INCLUSO ENGATE FLEXÍVEL EM METAL CROMADO, 1/2" X 40CM - FORNECIMENTO E INSTALAÇÃO. AF_12/2013_P + ASSENTO SANITARIO DE PLASTICO, TIPO CONVENCIONAL</t>
  </si>
  <si>
    <t>10.9</t>
  </si>
  <si>
    <t>86941-86915</t>
  </si>
  <si>
    <r>
      <rPr>
        <sz val="14"/>
        <rFont val="Calibri"/>
        <family val="2"/>
        <charset val="1"/>
      </rPr>
      <t>LAVATÓRIO LOUÇA BRANCA COM COLUNA, 45 X 55CM OU EQUIVALENTE, PADRÃO MÉDIO, INCLUSO SIFÃO TIPO GARRAFA, VÁLVULA E ENGATE FLEXÍVEL DE 40CM EM METAL CROMADO,</t>
    </r>
    <r>
      <rPr>
        <b/>
        <sz val="14"/>
        <rFont val="Calibri"/>
        <family val="2"/>
        <charset val="1"/>
      </rPr>
      <t>SEM</t>
    </r>
    <r>
      <rPr>
        <sz val="14"/>
        <rFont val="Calibri"/>
        <family val="2"/>
        <charset val="1"/>
      </rPr>
      <t xml:space="preserve"> TORNEIRA CROMADA DE MESA - FORNECIMENTO E INSTALAÇÃO. AF_12/2013 (descontei o valor da torneira) </t>
    </r>
  </si>
  <si>
    <t>10.10</t>
  </si>
  <si>
    <t>TORNEIRA CROMADA DE MESA PARA LAVATORIO TEMPORIZADA PRESSAO BICA BAIXA</t>
  </si>
  <si>
    <t>10.11</t>
  </si>
  <si>
    <t>10.12</t>
  </si>
  <si>
    <t>COMPOSIÇÃO 15</t>
  </si>
  <si>
    <t>TANQUE ACO INOXIDAVEL (ACO 304) COM ESFREGADOR E VALVULA, DE *50 X 40 X 22* CM E MÃO-FRANCESA</t>
  </si>
  <si>
    <t>10.13</t>
  </si>
  <si>
    <t>SIFÃO DO TIPO FLEXÍVEL EM PVC 1 X 1.1/2 - FORNECIMENTO E INSTALAÇÃO. AF_12/2013 (TANQUE)</t>
  </si>
  <si>
    <t>10.14</t>
  </si>
  <si>
    <t>TORNEIRA CROMADA 1/2" OU 3/4" PARA TANQUE, PADRÃO MÉDIO - FORNECIMENTO E INSTALAÇÃO. AF_12/2013</t>
  </si>
  <si>
    <t>10.15</t>
  </si>
  <si>
    <t>KIT DE ACESSORIOS PARA BANHEIRO EM METAL CROMADO, 5 PECAS, INCLUSO FIXAÇÃO. AF_10/2016 (BANHEIROS)</t>
  </si>
  <si>
    <t>10.16</t>
  </si>
  <si>
    <t>PAPELEIRA DE PAREDE EM METAL CROMADO SEM TAMPA, INCLUSO FIXAÇÃO. AF_10/2016 (SANITÁRIOS)</t>
  </si>
  <si>
    <t>10.17</t>
  </si>
  <si>
    <t>PORTA TOALHA ROSTO EM METAL CROMADO, TIPO ARGOLA, INCLUSO FIXAÇÃO. AF_10/2016 (SANITÁRIOS)</t>
  </si>
  <si>
    <t>10.18</t>
  </si>
  <si>
    <t>CABIDE/GANCHO DE BANHEIRO SIMPLES EM METAL CROMADO (SANITÁRIOS)</t>
  </si>
  <si>
    <t>10.19</t>
  </si>
  <si>
    <t>SABONETEIRA PLASTICA TIPO DISPENSER PARA SABONETE LIQUIDO COM RESERVATÓRIO 800 A 1500 ML, INCLUSO FIXAÇÃO.</t>
  </si>
  <si>
    <t>10.20</t>
  </si>
  <si>
    <t>TORNEIRA ELÉTRICA, FORNECIMENTO E INSTALAÇÃO</t>
  </si>
  <si>
    <t>10.21</t>
  </si>
  <si>
    <t>MISTURADOR ELÉTRICO, ACIONAMENTO COM ALAVANCA, FORNECIMENTO E INSTALAÇÃO (bloco cirúrgico)</t>
  </si>
  <si>
    <t>10.22</t>
  </si>
  <si>
    <t>AQUECEDOR VERSÁTIL PARA MISTURADOR</t>
  </si>
  <si>
    <t>10.23</t>
  </si>
  <si>
    <t>INSTALAÇÕES ELÉTRICAS / TELEFONE</t>
  </si>
  <si>
    <t>11.1</t>
  </si>
  <si>
    <t>PT</t>
  </si>
  <si>
    <t>11.2</t>
  </si>
  <si>
    <t>11.3</t>
  </si>
  <si>
    <t>11.4</t>
  </si>
  <si>
    <t>11.5</t>
  </si>
  <si>
    <t>11.6</t>
  </si>
  <si>
    <t>11.7</t>
  </si>
  <si>
    <t>CABO DE COBRE FLEXÍVEL ISOLADO, 6 MM², ANTI-CHAMA 450/750 V, PARA CIRCUITOS TERMINAIS - FORNECIMENTO E INSTALAÇÃO. AF_12/2015</t>
  </si>
  <si>
    <t>PINTURA</t>
  </si>
  <si>
    <t>PAREDES</t>
  </si>
  <si>
    <t>12.1</t>
  </si>
  <si>
    <t xml:space="preserve">APLICAÇÃO E LIXAMENTO DE MASSA LÁTEX EM PAREDES, DUAS DEMÃOS. AF_06/2014 </t>
  </si>
  <si>
    <t>12.2</t>
  </si>
  <si>
    <t>APLICAÇÃO MANUAL DE PINTURA COM TINTA LÁTEX ACRÍLICA EM PAREDES, DUAS DEMÃOS. AF_06/2014</t>
  </si>
  <si>
    <t>12.3</t>
  </si>
  <si>
    <t>APLICAÇÃO DE FUNDO SELADOR ACRÍLICO EM PAREDES, UMA DEMÃO. AF_06/2014</t>
  </si>
  <si>
    <t>12.4</t>
  </si>
  <si>
    <t xml:space="preserve">APLICAÇÃO MANUAL DE MASSA ACRÍLICA EM PAREDES, DUAS DEMÃOS. </t>
  </si>
  <si>
    <t>12.5</t>
  </si>
  <si>
    <t>PINTURA EPOXI, DUAS DEMAOS</t>
  </si>
  <si>
    <t>TETOS</t>
  </si>
  <si>
    <t>12.6</t>
  </si>
  <si>
    <t>APLICAÇÃO E LIXAMENTO DE MASSA LÁTEX EM TETO, DUAS DEMÃOS. AF_06/2014</t>
  </si>
  <si>
    <t>12.7</t>
  </si>
  <si>
    <t>APLICAÇÃO MANUAL DE PINTURA COM TINTA LÁTEX ACRÍLICA EM TETO, DUAS DEMÃOS. AF_06/2014</t>
  </si>
  <si>
    <t>12.8</t>
  </si>
  <si>
    <t>12.9</t>
  </si>
  <si>
    <t>COMPLEMENTARES</t>
  </si>
  <si>
    <t>13.1</t>
  </si>
  <si>
    <t>COMPOSIÇÃO 17</t>
  </si>
  <si>
    <t>PROTETOR DE PAREDE  EM MADEIRA BATE- MACA COM FUNÇÃO DE CORRIMÃO COM PINTURA ESMALTE SINTÉTICO</t>
  </si>
  <si>
    <t>13.2</t>
  </si>
  <si>
    <t>COMPOSIÇÃO 16</t>
  </si>
  <si>
    <t xml:space="preserve">PROTETOR DE PAREDE EM MADEIRA BATE- MACA COM PINTURA ESMALTE SINTÉTICO </t>
  </si>
  <si>
    <t>13.3</t>
  </si>
  <si>
    <t>BARRA DE APOIO RETA, EM ACO INOX POLIDO, COMPRIMENTO 80CM, DIAMETRO MINIMO 3 CM</t>
  </si>
  <si>
    <t>13.4</t>
  </si>
  <si>
    <t>COMPOSIÇÃO 12</t>
  </si>
  <si>
    <t>TAMPOS DE INOX  COM ESTRUTURA DE APOIO EM TUBOS METÁLICOS COM PINTURA ESMALTE SINTÉTICO</t>
  </si>
  <si>
    <t>13.5</t>
  </si>
  <si>
    <t>*11698</t>
  </si>
  <si>
    <t>LAVATÓRIO DE INOX PARA ANTI-SEPSIA DAS MÃOS E ANTEBRAÇOS  L = 2,0M</t>
  </si>
  <si>
    <t>13.6</t>
  </si>
  <si>
    <t>CUBA DE EMBUTIR DE AÇO INOXIDÁVEL MÉDIA, INCLUSO VÁLVULA TIPO AMERICANA E SIFÃO TIPO GARRAFA EM METAL CROMADO - FORNECIMENTO E INSTALAÇÃO. AF_12/2013 (nas pias de inox incluso expurgo)</t>
  </si>
  <si>
    <t>13.7</t>
  </si>
  <si>
    <t>COMPOSIÇÃO 13</t>
  </si>
  <si>
    <t>RENOVADOR DE AR PARA AMBIENTES FECHADOS - FORNECIMENTO E INSTALAÇÃO</t>
  </si>
  <si>
    <t>13.8</t>
  </si>
  <si>
    <t>COMPOSIÇÃO 14</t>
  </si>
  <si>
    <t>TUBO FLEXÍVEL PARA INSTALAÇÃO DOS EXAUSTORES</t>
  </si>
  <si>
    <t>13.9</t>
  </si>
  <si>
    <t>REDE DE GASES MEDICINAIS</t>
  </si>
  <si>
    <t>13.10</t>
  </si>
  <si>
    <t>13.11</t>
  </si>
  <si>
    <t>COMPOSIÇÃO 19</t>
  </si>
  <si>
    <t>COMPOSIÇÃO 20</t>
  </si>
  <si>
    <t>ADMINISTRAÇÃO LOCAL</t>
  </si>
  <si>
    <t>14.1</t>
  </si>
  <si>
    <t>COMPOSIÇÃO</t>
  </si>
  <si>
    <t>TOTAL DO ORÇAMENTO</t>
  </si>
  <si>
    <t>FUNDAÇÃO HOSPITALAR GETÚLIO VARGAS</t>
  </si>
  <si>
    <t>LOCACAO DE CONTAINER 2,30 X 6,00 M, ALT. 2,50 M, PARA ESCRITORIO, SEM DIVISORIAS INTERNAS E SEM SANITARIO (NAO INCLUI MOBILIZACAO/DESMOBILIZACAO)</t>
  </si>
  <si>
    <t>PLACA DE OBRA (PARA CONSTRUCAO CIVIL) EM CHAPA GALVANIZADA *N. 22*, ADESIVADA, DE *2,4 X 1,2* M (SEM POSTES PARA FIXACAO)</t>
  </si>
  <si>
    <t>100195</t>
  </si>
  <si>
    <t>TRANSPORTE HORIZONTAL MANUAL, DE SACOS DE 50 KG (UNIDADE: KGXKM). AF_07/2019</t>
  </si>
  <si>
    <t>KGXKM</t>
  </si>
  <si>
    <t>100229</t>
  </si>
  <si>
    <t>TRANSPORTE VERTICAL MANUAL, 1 PAVIMENTO, DE SACOS DE 50 KG (UNIDADE: KG). AF_07/2019</t>
  </si>
  <si>
    <t>KG</t>
  </si>
  <si>
    <t>87620</t>
  </si>
  <si>
    <t>CONTRAPISO EM ARGAMASSA TRAÇO 1:4 (CIMENTO E AREIA), PREPARO MECÂNICO COM BETONEIRA 400 L, APLICADO EM ÁREAS SECAS SOBRE LAJE, ADERIDO, ACABAMENTO NÃO REFORÇADO, ESPESSURA 2CM. AF_07/2021</t>
  </si>
  <si>
    <t>102152</t>
  </si>
  <si>
    <t>INSTALAÇÃO DE VIDRO LISO, E = 4 MM, EM ESQUADRIA DE MADEIRA, FIXADO COM BAGUETE. AF_01/2021</t>
  </si>
  <si>
    <t xml:space="preserve"> </t>
  </si>
  <si>
    <t>86911</t>
  </si>
  <si>
    <t>TORNEIRA CROMADA LONGA, DE PAREDE, 1/2 OU 3/4, PARA PIA DE COZINHA, PADRÃO POPULAR - FORNECIMENTO E INSTALAÇÃO. AF_01/2020</t>
  </si>
  <si>
    <t>CHUVEIRO COMUM EM PLASTICO CROMADO, COM CANO, 4 TEMPERATURAS (110/220 V)</t>
  </si>
  <si>
    <t>COMPOSIÇÃO IE.1</t>
  </si>
  <si>
    <t xml:space="preserve">QUADRO DE DISTRIBUIÇÃO DE ENERGIA EM CHAPA DE AÇO GALVANIZADO, DE EMBUTIR, COM BARRAMENTO TRIFÁSICO, PARA 60 DISJUNTORES DIN 250A - FORNECIMENTO E INSTALAÇÃO. </t>
  </si>
  <si>
    <t>QUADRO DE DISTRIBUIÇÃO DE ENERGIA EM CHAPA DE AÇO GALVANIZADO, DE EMBUTIR, COM BARRAMENTO TRIFÁSICO, PARA 40 DISJUNTORES DIN 100A - FORNECIMENTO E INSTALAÇÃO. AF_10/2020</t>
  </si>
  <si>
    <t>QUADRO DE DISTRIBUIÇÃO DE ENERGIA EM CHAPA DE AÇO GALVANIZADO, DE EMBUTIR, COM BARRAMENTO TRIFÁSICO, PARA 18 DISJUNTORES DIN 100A - FORNECIMENTO E INSTALAÇÃO. AF_10/2020</t>
  </si>
  <si>
    <t>CAIXA RETANGULAR 4" X 2", PVC, INSTALADA EM PAREDE - FORNECIMENTO E INSTALAÇÃO. AF_12/2015</t>
  </si>
  <si>
    <t>CAIXA OCTOGONAL 4" X 4", PVC, INSTALADA EM LAJE - FORNECIMENTO E INSTALAÇÃO. AF_12/2015</t>
  </si>
  <si>
    <t>CABO DE COBRE FLEXÍVEL ISOLADO, 2,5 MM², ANTI-CHAMA 450/750 V, PARA CIRCUITOS TERMINAIS - FORNECIMENTO E INSTALAÇÃO. AF_12/2015</t>
  </si>
  <si>
    <t>CABO DE COBRE FLEXÍVEL ISOLADO, 10 MM², ANTI-CHAMA 0,6/1,0 KV, PARA CIRCUITOS TERMINAIS - FORNECIMENTO E INSTALAÇÃO. AF_12/2015</t>
  </si>
  <si>
    <t>CABO DE COBRE FLEXÍVEL ISOLADO, 35 MM², ANTI-CHAMA 0,6/1,0 KV - FORNECIMENTO E INSTALAÇÃO. AF_12/2021</t>
  </si>
  <si>
    <t>CABO DE COBRE FLEXÍVEL ISOLADO, 50 MM², ANTI-CHAMA 0,6/1,0 KV, PARA REDE ENTERRADA DE DISTRIBUIÇÃO DE ENERGIA ELÉTRICA - FORNECIMENTO E INSTALAÇÃO. AF_12/2021</t>
  </si>
  <si>
    <t>CABO DE COBRE FLEXÍVEL ISOLADO, 95 MM², ANTI-CHAMA 0,6/1,0 KV, PARA REDE ENTERRADA DE DISTRIBUIÇÃO DE ENERGIA ELÉTRICA - FORNECIMENTO E INST
ALAÇÃO. AF_12/2021</t>
  </si>
  <si>
    <t>COMPOSIÇÃO IE.2</t>
  </si>
  <si>
    <t>ELETROCALHA LISA OU PERFURADA EM AÇO GALVANIZADO, LARGURA 100MM E ALTURA 50MM, INCLUSIVE EMENDA E FIXAÇÃO - FORNECIMENTO E INSTALAÇÃO</t>
  </si>
  <si>
    <t>COMPOSIÇÃO IE.3</t>
  </si>
  <si>
    <t>SAIDA GALVANIZADA ELETROCALHA PARA ELETRODUTO 1” - FORNECIMENTO E INSTALAÇÃO.</t>
  </si>
  <si>
    <t>TOMADA DE EMBUTIR (1 MÓDULO), 2P+T 10 A, INCLUINDO SUPORTE E PLACA - FORNECIMENTO E INSTALAÇÃO. AF_12/2015</t>
  </si>
  <si>
    <t>INTERRUPTOR SIMPLES (1 MÓDULO), 10A/250V, INCLUINDO SUPORTE E PLACA – FORNECIMENTO E INSTALAÇÃO. AF_12/2015</t>
  </si>
  <si>
    <t>COMPOSIÇÃO IE.4</t>
  </si>
  <si>
    <t>LUMINÁRIA FECHADA TIPO CALHA, DE EMBUTIR, COM 2 LÂMPADAS TUBULARES LED DE 10 W COM REFLETOR - FORNECIMENTO E INSTALAÇÃO.</t>
  </si>
  <si>
    <t>COMPOSIÇÃO IE.5</t>
  </si>
  <si>
    <t>LUMINÁRIA TIPO EMBUTIR REDONDA, COM 1 LÂMP. LED 10W</t>
  </si>
  <si>
    <t>COMPOSIÇÃO IE.6</t>
  </si>
  <si>
    <t>DISJUNTOR TERMOMAGNÉTICO TRIPOLAR , CORRENTE NOMINAL DE 175A – FORNECIMENTO E INSTALAÇÃO.</t>
  </si>
  <si>
    <t>COMPOSIÇÃO IE.7</t>
  </si>
  <si>
    <t>DISJUNTOR TERMOMAGNÉTICO TRIPOLAR DIN , CORRENTE NOMINAL DE 100A – FORNECIMENTO E INSTALAÇÃO.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</si>
  <si>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</si>
  <si>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</si>
  <si>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25A - FORNECIMENTO E INSTALAÇÃO. AF_10/2020</t>
  </si>
  <si>
    <t>DISJUNTOR MONOPOLAR TIPO DIN, CORRENTE NOMINAL DE 32A - FORNECIMENTO E INSTALAÇÃO. AF_10/2020</t>
  </si>
  <si>
    <t>COMPOSIÇÃO IE.8</t>
  </si>
  <si>
    <t>DISPOSITIVO SUPRESSOR DE SURTO – FORNECIMENTO E INSTALAÇÃO.</t>
  </si>
  <si>
    <t>ELETRODUTO RÍGIDO ROSCÁVEL, PVC, DN 110 MM (4"), PARA REDE ENTERRADA DE DISTRIBUIÇÃO DE ENERGIA ELÉTRICA - FORNECIMENTO E INSTALAÇÃO. AF_12/2021</t>
  </si>
  <si>
    <t>LUVA PARA ELETRODUTO, PVC, ROSCÁVEL, DN 110 MM (4"), PARA REDE ENTERRADA DE DISTRIBUIÇÃO DE ENERGIA ELÉTRICA - FORNECIMENTO E INSTALAÇÃO. AF_12/2021</t>
  </si>
  <si>
    <t>CURVA 90 GRAUS PARA ELETRODUTO, PVC, ROSCÁVEL, DN 110 MM (4"), PARA REDE ENTERRADA DE DISTRIBUIÇÃO DE ENERGIA ELÉTRICA - FORNECIMENTO E INSTALAÇÃO. AF_12/2021</t>
  </si>
  <si>
    <t>COMPOSIÇÃO IE.9</t>
  </si>
  <si>
    <t xml:space="preserve">CONDULETE DE ALUMÍNIO, PARA ELETRODUTO DE AÇO GALVANIZADO (4''), APARENTE - FORNECIMENTO E INSTALAÇÃO. </t>
  </si>
  <si>
    <t>COMPOSIÇÃO IE.10</t>
  </si>
  <si>
    <t>FIXAÇÃO DE TUBOS DE PVC, AÇO GALVANIZADO DIÂMETROS MAIORES QUE 50 MM COM ABRAÇADEIRA METÁLICA RÍGIDA TIPO  D  4"</t>
  </si>
  <si>
    <t>PEÇA RETANGULAR PRÉ-MOLDADA, VOLUME DE CONCRETO ACIMA DE 100 LITROS, TAXA DE AÇO APROXIMADA DE 30KG/M³. AF_01/2018</t>
  </si>
  <si>
    <t>ESPELHO / PLACA DE 1 POSTO 4" X 2", PARA INSTALACAO DE TOMADAS E INTERRUPTORES</t>
  </si>
  <si>
    <t>ESPELHO / PLACA DE 2 POSTOS 4" X 2", PARA INSTALACAO DE TOMADAS E INTERRUPTORES</t>
  </si>
  <si>
    <t>ESPELHO / PLACA DE 3 POSTOS 4" X 2", PARA INSTALACAO DE TOMADAS E INTERRUPTORES</t>
  </si>
  <si>
    <t>INSTALAÇÕES ELÉTRICAS PARA AR CONDICIONADO</t>
  </si>
  <si>
    <t>ELETRODUTO RÍGIDO ROSCÁVEL, PVC, DN 32 MM (1"), PARA CIRCUITOS TERMINAIS, INSTALADO EM PAREDE - FORNECIMENTO E INSTALAÇÃO. AF_12/2015</t>
  </si>
  <si>
    <t>CURVA 180 GRAUS PARA ELETRODUTO, PVC, ROSCÁVEL, DN 32 MM (1”), PARA CIRCUITOS TERMINAIS, INSTALADA EM PAREDE - FORNECIMENTO E INSTALAÇÃO. AF_12/2015</t>
  </si>
  <si>
    <t>LUVA PARA ELETRODUTO, PVC, ROSCÁVEL, DN 32 MM (1"), PARA CIRCUITOS TERMINAIS, INSTALADA EM PAREDE - FORNECIMENTO E INSTALAÇÃO. AF_12/2015</t>
  </si>
  <si>
    <t>QUADRO DE DISTRIBUIÇÃO DE ENERGIA EM CHAPA DE AÇO GALVANIZADO, DE EMBUTIR, COM BARRAMENTO TRIFÁSICO, PARA 12 DISJUNTORES DIN 100A – FORNECIMENTO E INSTALAÇÃO. AF_10/2020</t>
  </si>
  <si>
    <t>DISJUNTOR TRIPOLAR TIPO DIN, CORRENTE NOMINAL DE 40A - FORNECIMENTO E INSTALAÇÃO. AF_10/2020</t>
  </si>
  <si>
    <t>CONDULETE DE PVC, TIPO LL, PARA ELETRODUTO DE PVC SOLDÁVEL DN 32 MM (1''), APARENTE - FORNECIMENTO E INSTALAÇÃO. AF_11/2016</t>
  </si>
  <si>
    <t>CONDULETE DE PVC, TIPO TB, PARA ELETRODUTO DE PVC SOLDÁVEL DN 32 MM (1''), APARENTE - FORNECIMENTO E INSTALAÇÃO. AF_11/2016</t>
  </si>
  <si>
    <t>RASGO EM ALVENARIA PARA ELETRODUTOS COM DIAMETROS MENORES OU IGUAIS A 40 MM. AF_05/2015</t>
  </si>
  <si>
    <t>INSTALAÇÕES DE REDE DE DADOS (LÓGICA)</t>
  </si>
  <si>
    <t>ELETRODUTO FLEXÍVEL CORRUGADO, PVC, DN 32 MM (1"), PARA CIRCUITOS TERMINAIS, INSTALADO EM PAREDE - FORNECIMENTO E INSTALAÇÃO. AF_12/2015</t>
  </si>
  <si>
    <t>COMPOSIÇÃO IE.11</t>
  </si>
  <si>
    <t>TE PARA ELETROCALHA, LISA OU PERFURADA EM AÇO GALVANIZADO, LARGURA DE 100MM E ALTURA DE 50MM - FORNECIMENTO E INSTALAÇÃO.</t>
  </si>
  <si>
    <t>COMPOSIÇÃO IE.12</t>
  </si>
  <si>
    <t>CURVA HORIZONTAL 90º, PARA ELETROCALHA, LISA OU PERFURADA EM AÇO GALVANIZADO, LARGURA DE 100MM E ALTURA DE 50MM - FORNECIMENTO E INSTALAÇÃO.</t>
  </si>
  <si>
    <t>COMPOSIÇÃO IE.13</t>
  </si>
  <si>
    <t>CURVA VERTICAL 90º, PARA ELETROCALHA, LISA
OU PERFURADA EM AÇO GALVANIZADO, LARGURA
DE 100MM E ALTURA DE 50MM - FORNECIMENTO E
INSTALAÇÃO.</t>
  </si>
  <si>
    <t>TOMADA DE REDE RJ45 - FORNECIMENTO E INSTALAÇÃO. AF_11/2019</t>
  </si>
  <si>
    <t>CABO ELETRÔNICO CATEGORIA 6, INSTALADO EM EDIFICAÇÃO INSTITUCIONAL – FORNECIMENTO E INSTALAÇÃO. AF_11/2019</t>
  </si>
  <si>
    <t>COMPOSIÇÃO IE.14</t>
  </si>
  <si>
    <t>CAIXA DE PASSAGEM ELETRICA DE PAREDE, DE EMBUTIR, EM PVC, COM TAMPA APARAFUSADA, DIMENSOES 200 X 200 X *90* MM - FORNECIMENTO E INSTALAÇÃO.</t>
  </si>
  <si>
    <t>un</t>
  </si>
  <si>
    <t>PATCH PANEL 24 PORTAS, CATEGORIA 6 - FORNECIMENTO E INSTALAÇÃO. AF_11/2019</t>
  </si>
  <si>
    <t>COMPOSIÇÃO IE.15</t>
  </si>
  <si>
    <t>RACK FECHADO 5U COM PORTA - FORNECIMENTO E INSTALAÇÃO.</t>
  </si>
  <si>
    <t>COMPOSIÇÃO IE.16</t>
  </si>
  <si>
    <t>CABO DE FIBRA ÓPTICA - FORNECIMENTO E INSTALAÇÃO.</t>
  </si>
  <si>
    <t>COMPOSIÇÃO IE.17</t>
  </si>
  <si>
    <t>CONECTORIZAÇÃO PONTO FIBRA ÓPTICA</t>
  </si>
  <si>
    <t>99804</t>
  </si>
  <si>
    <t>LIMPEZA DE PISO CERÂMICO OU PORCELANATO UTILIZANDO DETERGENTE NEUTRO E ESCOVAÇÃO MANUAL. AF_04/2019</t>
  </si>
  <si>
    <t>TUBO EM COBRE RÍGIDO, DIN 42 MM, CLASSE A S/ ISOLAMENTO</t>
  </si>
  <si>
    <t>TUBO EM COBRE RÍGIDO, DIN 22 MM, CLASSE A S/ ISOLAMENTO</t>
  </si>
  <si>
    <t>TUBO EM COBRE RÍGIDO, DIN 15 MM, CLASSE A S/ ISOLAMENTO</t>
  </si>
  <si>
    <t>COTOVELO DE COBRE,9 GRAUS,S/ ANEL DE SOLDA DIN 42 MM, INST.PRUM.</t>
  </si>
  <si>
    <t>PÇ</t>
  </si>
  <si>
    <t>COTOVELO DE COBRE,9 GRAUS,S/ ANEL DE SOLDA DIN 22 MM, INST.PRUM.</t>
  </si>
  <si>
    <t>COTOVELO DE COBRE,9 GRAUS,S/ ANEL DE SOLDA DIN 15 MM, INST.PRUM.</t>
  </si>
  <si>
    <t>TÊ DE REDUÇÃO Ø42 – Ø22, COBRE</t>
  </si>
  <si>
    <t>TÊ DE REDUÇÃO Ø22 – Ø15, COBRE</t>
  </si>
  <si>
    <t>BUCHA DE REDUÇÃO Ø42 – Ø22, COBRE</t>
  </si>
  <si>
    <t>BUCHA DE REDUÇÃO Ø22 – Ø15, COBRE</t>
  </si>
  <si>
    <t>VÁLVULA DE BLOQUEIO MANUAL P/ Ø22</t>
  </si>
  <si>
    <t>90778</t>
  </si>
  <si>
    <t>ENGENHEIRO CIVIL DE OBRA PLENO COM ENCARGOS COMPLEMENTARES</t>
  </si>
  <si>
    <t>H</t>
  </si>
  <si>
    <t>90780</t>
  </si>
  <si>
    <t>MESTRE DE OBRAS COM ENCARGOS COMPLEMENTARES</t>
  </si>
  <si>
    <t>Sapucaia do Sul, 20 de maio de 2022.</t>
  </si>
  <si>
    <t>* Acrescentado o isolamento com Lã de Vidro</t>
  </si>
  <si>
    <t>PAREDE COM PLACAS DE GESSO ACARTONADO (DRYWALL), PARA USO INTERNO, COM DUAS FACES SIMPLES E ESTRUTURA METÁLICA COM GUIAS SIMPLES,  SEM VÃOS</t>
  </si>
  <si>
    <t>COEF.</t>
  </si>
  <si>
    <t>UNIT.</t>
  </si>
  <si>
    <t>INSUMO</t>
  </si>
  <si>
    <t>37586</t>
  </si>
  <si>
    <t>PINO DE ACO COM ARRUELA CONICA, DIAMETRO ARRUELA = *23* MM E COMP HASTE = *27* MM (ACAO INDIRETA)</t>
  </si>
  <si>
    <t>CENTO</t>
  </si>
  <si>
    <t>0,0243000</t>
  </si>
  <si>
    <t>CHAPA DE GESSO ACARTONADO, COR BRANCA, E = 12,5 MM, 1200 X 2400 MM (L X C)</t>
  </si>
  <si>
    <t>2,1060000</t>
  </si>
  <si>
    <t>39419</t>
  </si>
  <si>
    <t>PERFIL GUIA, FORMATO U, EM ACO ZINCADO, PARA ESTRUTURA PAREDE DRYWALL, E = 0,5 MM, 70 X 3000 MM (L X C)</t>
  </si>
  <si>
    <t>0,7604000</t>
  </si>
  <si>
    <t>39422</t>
  </si>
  <si>
    <t>PERFIL MONTANTE, FORMATO C, EM ACO ZINCADO, PARA ESTRUTURA PAREDE DRYWALL, E = 0,5 MM, 70 X 3000 MM (L X C)</t>
  </si>
  <si>
    <t>1,9910000</t>
  </si>
  <si>
    <t>39431</t>
  </si>
  <si>
    <t>FITA DE PAPEL MICROPERFURADO, 50 X 150 MM, PARA TRATAMENTO DE JUNTAS DE CHAPA DE GESSO PARA DRYWALL</t>
  </si>
  <si>
    <t>2,5027000</t>
  </si>
  <si>
    <t>39432</t>
  </si>
  <si>
    <t>FITA DE PAPEL REFORCADA COM LAMINA DE METAL PARA REFORCO DE CANTOS DE CHAPA DE GESSO PARA DRYWALL</t>
  </si>
  <si>
    <t>0,7407000</t>
  </si>
  <si>
    <t>39434</t>
  </si>
  <si>
    <t>MASSA DE REJUNTE EM PO PARA DRYWALL, A BASE DE GESSO, SECAGEM RAPIDA, PARA TRATAMENTO DE JUNTAS DE CHAPA DE GESSO (COM ADICAO DE AGUA)</t>
  </si>
  <si>
    <t>1,0327000</t>
  </si>
  <si>
    <t>39435</t>
  </si>
  <si>
    <t>PARAFUSO DRY WALL, EM ACO FOSFATIZADO, CABECA TROMBETA E PONTA AGULHA (TA), COMPRIMENTO 25 MM</t>
  </si>
  <si>
    <t>20,0077000</t>
  </si>
  <si>
    <t>39443</t>
  </si>
  <si>
    <t>PARAFUSO DRY WALL, EM ACO ZINCADO, CABECA LENTILHA E PONTA BROCA (LB), LARGURA 4,2 MM, COMPRIMENTO 13 MM</t>
  </si>
  <si>
    <t>0,8076000</t>
  </si>
  <si>
    <t>COMPOSICAO</t>
  </si>
  <si>
    <t>88278</t>
  </si>
  <si>
    <t>MONTADOR DE ESTRUTURA METÁLICA COM ENCARGOS COMPLEMENTARES</t>
  </si>
  <si>
    <t>0,5449000</t>
  </si>
  <si>
    <t>88316</t>
  </si>
  <si>
    <t>SERVENTE COM ENCARGOS COMPLEMENTARES</t>
  </si>
  <si>
    <t>0,1362000</t>
  </si>
  <si>
    <t xml:space="preserve">PAINEL DE LA DE VIDRO SEM REVESTIMENTO PSI 20, E = 50 MM, DE 1200 X 600 MM </t>
  </si>
  <si>
    <t>*ACRESCENTADO</t>
  </si>
  <si>
    <t xml:space="preserve">PAREDE COM PLACAS DE GESSO ACARTONADO (DRYWALL), PARA USO INTERNO, COM DUAS FACES SIMPLES E ESTRUTURA METÁLICA COM GUIAS SIMPLES,COM VÃOS </t>
  </si>
  <si>
    <t>*SINAPI → 96358 FOI ADAPTADA = TIRADA PLACA BRANCA E COLOCADA A VERDE</t>
  </si>
  <si>
    <t>PAREDE COM PLACAS DE GESSO ACARTONADO (DRYWALL), PARA USO INTERNO, COM DUAS FACES RESISTENTE A UMIDADE (RU) E ESTRUTURA METÁLICA COM GUIAS SIMPLES,  SEM VÃOS</t>
  </si>
  <si>
    <t>CHAPA DE GESSO ACARTONADO, RESISTENTE A UMIDADE (RU), COR VERDE, E = 12,5 MM, 1200 X 2400 MM (L X C)</t>
  </si>
  <si>
    <t>*96359</t>
  </si>
  <si>
    <t xml:space="preserve">PAREDE COM PLACAS DE GESSO ACARTONADO (DRYWALL), PARA USO INTERNO, COM DUAS FACES RESISTENTES À UMIDADE (RU) E ESTRUTURA METÁLICA COM GUIAS SIMPLES,COM VÃOS </t>
  </si>
  <si>
    <t>100702</t>
  </si>
  <si>
    <t>PORTA DE CORRER DE ALUMÍNIO, COM DUAS FOLHAS PARA VIDRO, INCLUSO VIDRO LISO INCOLOR, FECHADURA E PUXADOR, SEM ALIZAR. AF_12/2019</t>
  </si>
  <si>
    <t>* Acrescentada a BANDEIRA das portas h=0,40m SEM vidro</t>
  </si>
  <si>
    <t>*90844</t>
  </si>
  <si>
    <r>
      <rPr>
        <b/>
        <sz val="8"/>
        <rFont val="Courier New"/>
        <family val="3"/>
        <charset val="1"/>
      </rPr>
      <t xml:space="preserve">KIT DE PORTA DE MADEIRA PARA PINTURA, SEMI-OCA (LEVE OU MÉDIA), PADRÃO MÉDIO, </t>
    </r>
    <r>
      <rPr>
        <b/>
        <sz val="8"/>
        <color rgb="FFFF0000"/>
        <rFont val="Courier New"/>
        <family val="3"/>
        <charset val="1"/>
      </rPr>
      <t xml:space="preserve">100X250CM, </t>
    </r>
    <r>
      <rPr>
        <b/>
        <sz val="8"/>
        <rFont val="Courier New"/>
        <family val="3"/>
        <charset val="1"/>
      </rPr>
      <t>ESPESSURA DE 3,5CM, ITENS INCLUSOS: DOBRADIÇAS, MONTAGEM E INSTALAÇÃO DO BATENTE, FECHADURA COM EXECUÇÃO DO FURO - FORNECIMENTO E INSTALAÇÃO. AF_08/2015 - incluso bandeira fixa c/ vidro</t>
    </r>
  </si>
  <si>
    <r>
      <rPr>
        <sz val="8"/>
        <rFont val="Courier New"/>
        <family val="3"/>
        <charset val="1"/>
      </rPr>
      <t>KIT DE PORTA DE MADEIRA PARA PINTURA, SEMI-OCA (LEVE OU MÉDIA), PADRÃO MÉDIO,</t>
    </r>
    <r>
      <rPr>
        <b/>
        <sz val="8"/>
        <rFont val="Courier New"/>
        <family val="3"/>
        <charset val="1"/>
      </rPr>
      <t xml:space="preserve"> 90X210CM</t>
    </r>
    <r>
      <rPr>
        <sz val="8"/>
        <rFont val="Courier New"/>
        <family val="3"/>
        <charset val="1"/>
      </rPr>
      <t>, ESPESSURA DE 3,5CM, ITENS INCLUSOS: DOBRADIÇAS, MONTAGEM E INSTALAÇÃO DO BATENTE, FECHADURA COM EXECUÇÃO DO FURO - FORNECIMENTO E INSTALAÇÃO. AF_08/2015</t>
    </r>
  </si>
  <si>
    <t>100666</t>
  </si>
  <si>
    <t>JANELA DE MADEIRA (PINUS/EUCALIPTO OU EQUIV.) DE ABRIR COM 4 FOLHAS (2 VENEZIANAS E 2 GUILHOTINAS PARA VIDRO), COM BATENTE, ALIZAR E FERRAGENS. EXCLUSIVE VIDROS, ACABAMENTO E CONTRAMARCO. FORNECIMENTO E INSTALAÇÃO. AF_12/2019</t>
  </si>
  <si>
    <r>
      <rPr>
        <b/>
        <sz val="8"/>
        <rFont val="Courier New"/>
        <family val="3"/>
        <charset val="1"/>
      </rPr>
      <t xml:space="preserve">KIT DE PORTA DE MADEIRA PARA PINTURA, SEMI-OCA (LEVE OU MÉDIA), PADRÃO MÉDIO, </t>
    </r>
    <r>
      <rPr>
        <b/>
        <sz val="8"/>
        <color rgb="FFFF0000"/>
        <rFont val="Courier New"/>
        <family val="3"/>
        <charset val="1"/>
      </rPr>
      <t>110X250CM</t>
    </r>
    <r>
      <rPr>
        <b/>
        <sz val="8"/>
        <rFont val="Courier New"/>
        <family val="3"/>
        <charset val="1"/>
      </rPr>
      <t>, ESPESSURA DE 3,5CM, ITENS INCLUSOS: DOBRADIÇAS, MONTAGEM E INSTALAÇÃO DO BATENTE, FECHADURA COM EXECUÇÃO DO FURO - FORNECIMENTO E INSTALAÇÃO. AF_08/2015 - incluso bandeira fixa c/ vidro</t>
    </r>
  </si>
  <si>
    <t>* SINAPI 73910/8 → adaptada incluso BANDEIRA, FECHADURA, FECHO</t>
  </si>
  <si>
    <r>
      <rPr>
        <b/>
        <sz val="8"/>
        <color rgb="FF000000"/>
        <rFont val="Courier New"/>
        <family val="3"/>
        <charset val="1"/>
      </rPr>
      <t xml:space="preserve">PORTA DE MADEIRA COMPENSADA LISA PARA PINTURA, </t>
    </r>
    <r>
      <rPr>
        <b/>
        <sz val="8"/>
        <color rgb="FFFF0000"/>
        <rFont val="Courier New"/>
        <family val="3"/>
        <charset val="1"/>
      </rPr>
      <t>160X250</t>
    </r>
    <r>
      <rPr>
        <b/>
        <sz val="8"/>
        <color rgb="FF000000"/>
        <rFont val="Courier New"/>
        <family val="3"/>
        <charset val="1"/>
      </rPr>
      <t>X3,5CM, 2 FOLHAS, INCLUSO ADUELA 2A, ALIZAR 2A E DOBRADICAS</t>
    </r>
  </si>
  <si>
    <t>90845</t>
  </si>
  <si>
    <t>KIT DE PORTA DE MADEIRA PARA PINTURA, SEMI-OCA (PESADA OU SUPERPESADA), PADRÃO MÉDIO, 80X210CM, ESPESSURA DE 3,5CM, ITENS INCLUSOS: DOBRADIÇAS, MONTAGEM E INSTALAÇÃO DO BATENTE, FECHADURA COM EXECUÇÃO DO FURO - FORNECIMENTO E INSTALAÇÃO. AF_12/2019</t>
  </si>
  <si>
    <r>
      <rPr>
        <b/>
        <sz val="8"/>
        <color rgb="FF000000"/>
        <rFont val="Courier New"/>
        <family val="3"/>
        <charset val="1"/>
      </rPr>
      <t xml:space="preserve">PORTA DE MADEIRA COMPENSADA LISA PARA PINTURA, </t>
    </r>
    <r>
      <rPr>
        <b/>
        <sz val="8"/>
        <color rgb="FFFF0000"/>
        <rFont val="Courier New"/>
        <family val="3"/>
        <charset val="1"/>
      </rPr>
      <t>200X250</t>
    </r>
    <r>
      <rPr>
        <b/>
        <sz val="8"/>
        <color rgb="FF000000"/>
        <rFont val="Courier New"/>
        <family val="3"/>
        <charset val="1"/>
      </rPr>
      <t>X3,5CM, 2 FOLHAS, INCLUSO ADUELA 2A, ALIZAR 2A E DOBRADICAS</t>
    </r>
  </si>
  <si>
    <t>PORTINHOLA DE ABRIR EM ALUMINIO DE 60 X 80 CM, VENEZIANA VENTILADA 1 FOLHA, ACABAMENTO ANODIZADO NATURAL</t>
  </si>
  <si>
    <t>91338</t>
  </si>
  <si>
    <t>PORTA DE ALUMÍNIO DE ABRIR COM LAMBRI, COM GUARNIÇÃO, FIXAÇÃO COM PARAFUSOS - FORNECIMENTO E INSTALAÇÃO. AF_12/2019</t>
  </si>
  <si>
    <t>Coef.</t>
  </si>
  <si>
    <t>R$</t>
  </si>
  <si>
    <t>88264</t>
  </si>
  <si>
    <t>ELETRICISTA COM ENCARGOS COMPLEMENTARES</t>
  </si>
  <si>
    <t>h</t>
  </si>
  <si>
    <t>TANQUE ACO INOXIDAVEL (ACO 304) COM ESFREGADOR E VALVULA, DE *50 X 40 X 22* CM</t>
  </si>
  <si>
    <t>TOTAL R$</t>
  </si>
  <si>
    <t>insumo</t>
  </si>
  <si>
    <t>100862</t>
  </si>
  <si>
    <t>SUPORTE MÃO FRANCESA EM ACO, ABAS IGUAIS 40 CM, CAPACIDADE MINIMA 70 KG, BRANCO - FORNECIMENTO E INSTALAÇÃO. AF_01/2020</t>
  </si>
  <si>
    <t>PEDREIRO COM ENCARGOS COMPLEMENTARES</t>
  </si>
  <si>
    <t>4785</t>
  </si>
  <si>
    <t>PINTOR PARA TINTA EPOXI (HORISTA)</t>
  </si>
  <si>
    <t>5330</t>
  </si>
  <si>
    <t>DILUENTE EPOXI</t>
  </si>
  <si>
    <t>L</t>
  </si>
  <si>
    <t>7304</t>
  </si>
  <si>
    <t>TINTA EPOXI BASE AGUA PREMIUM, BRANCA</t>
  </si>
  <si>
    <t>PROTETOR DE PAREDE BATE-MACA C/ CORRIMÃO - ML</t>
  </si>
  <si>
    <t>TABUA DE MADEIRA APARELHADA *2,5 X 15* CM, MACARANDUBA, ANGELIM OU EQUIVALENTE DA REGIAO</t>
  </si>
  <si>
    <t>SARRAFO DE MADEIRA APARELHADA *2 X 10* CM, MACARANDUBA, ANGELIM OU EQUIVALENTE DA REGIAO</t>
  </si>
  <si>
    <t xml:space="preserve">M </t>
  </si>
  <si>
    <t>COLA A BASE DE RESINA SINTETICA PARA CHAPA DE LAMINADO MELAMINICO</t>
  </si>
  <si>
    <t>BUCHA DE NYLON SEM ABA S12, COM PARAFUSO DE 5/16" X 80 MM EM ACO ZINCADO COM ROSCA SOBERBA E CABECA SEXTAVADA</t>
  </si>
  <si>
    <t>composição 6</t>
  </si>
  <si>
    <t>CARPINTEIRO DE ESQUADRIA COM ENCARGOS COMPLEMENTARES</t>
  </si>
  <si>
    <t>88239</t>
  </si>
  <si>
    <t>AJUDANTE DE CARPINTEIRO COM ENCARGOS COMPLEMENTARES</t>
  </si>
  <si>
    <t>PROTETOR DE PAREDE BATE-MACA - ML</t>
  </si>
  <si>
    <t>BUCHA DE NYLON SEM ABA S8, COM PARAFUSO DE 4,80 X 50 MM EM ACO ZINCADO COM ROSCA SOBERBA, CABECA CHATA E FENDA PHILLIPS</t>
  </si>
  <si>
    <t xml:space="preserve">BANCADA EM AÇO INOX LARGURA 60CM </t>
  </si>
  <si>
    <t>código</t>
  </si>
  <si>
    <t>Insumo</t>
  </si>
  <si>
    <t>preço</t>
  </si>
  <si>
    <t>BANCADA/TAMPO ACO INOX (AISI 304), LARGURA 60 CM, COM RODABANCA (NAO INCLUI PES DE APOIO)</t>
  </si>
  <si>
    <t>ENCANADOR OU BOMBEIRO HIDRÁULICO COM ENCARGOS COMPLEMENTARES</t>
  </si>
  <si>
    <t>TUBO ACO GALVANIZADO COM COSTURA, CLASSE MEDIA, DN 2", E = *3,65* MM, PESO *5,10* KG/M (NBR 5580)</t>
  </si>
  <si>
    <t>SERRALHEIRO COM ENCARGOS COMPLEMENTARES</t>
  </si>
  <si>
    <t xml:space="preserve">PARA 1 ML DE TAMPO </t>
  </si>
  <si>
    <t>RENOVADOR DE AR PARABANHEIROS</t>
  </si>
  <si>
    <t>RENOVADOR DE AR PARA BANHEIROS</t>
  </si>
  <si>
    <t>0,4500000</t>
  </si>
  <si>
    <t>0,3000000</t>
  </si>
  <si>
    <t>TUBO FLEXÍVEL PARA INSTALAÇÃO EXAUSTOR</t>
  </si>
  <si>
    <t>TUBO FLEXÍVEL 125MM PARA INSTALAÇÃO EXAUSTOR</t>
  </si>
  <si>
    <t>ABRAÇADEIRAS 125MM</t>
  </si>
  <si>
    <t>TOTAL</t>
  </si>
  <si>
    <t>ML</t>
  </si>
  <si>
    <t>R$  P/ML</t>
  </si>
  <si>
    <t>TUBO EM COBRE RÍGIDO, DN 15 MM, CLASSE A, SEM ISOLAMENTO, INSTALADO EM RAMAL E SUB-RAMAL  FORNECIMENTO E INSTALAÇÃO. AF_12/2015</t>
  </si>
  <si>
    <t>39747</t>
  </si>
  <si>
    <t>TUBO DE COBRE CLASSE "A", DN = 1/2 " (15 MM), PARA INSTALACOES DE MEDIA PRESSAO PARA GASES COMBUSTIVEIS E MEDICINAIS</t>
  </si>
  <si>
    <t>88248</t>
  </si>
  <si>
    <t>AUXILIAR DE ENCANADOR OU BOMBEIRO HIDRÁULICO COM ENCARGOS COMPLEMENTARES</t>
  </si>
  <si>
    <t>88267</t>
  </si>
  <si>
    <t>12732</t>
  </si>
  <si>
    <t>SOLDA ESTANHO/COBRE PARA CONEXOES DE COBRE, FIO 2,5 MM, CARRETEL 500 GR (SEM CHUMBO)</t>
  </si>
  <si>
    <t>38383</t>
  </si>
  <si>
    <t>LIXA D'AGUA EM FOLHA, GRAO 100</t>
  </si>
  <si>
    <t>39897</t>
  </si>
  <si>
    <t>PASTA PARA SOLDA DE TUBOS E CONEXOES DE COBRE (EMBALAGEM COM 250 G)</t>
  </si>
  <si>
    <t>TUBO EM COBRE RÍGIDO, DN 22 MM, CLASSE A, SEM ISOLAMENTO, INSTALADO EM RAMAL E SUB-RAMAL  FORNECIMENTO E INSTALAÇÃO. AF_12/2015</t>
  </si>
  <si>
    <t>39748</t>
  </si>
  <si>
    <t>TUBO DE COBRE CLASSE "A", DN = 3/4 " (22 MM), PARA INSTALACOES DE MEDIA PRESSAO PARA GASES COMBUSTIVEIS E MEDICINAIS</t>
  </si>
  <si>
    <t>TUBO EM COBRE RÍGIDO, DN 42 MM, CLASSE A, SEM ISOLAMENTO, INSTALADO EM RAMAL E SUB-RAMAL  FORNECIMENTO E INSTALAÇÃO. AF_12/2015</t>
  </si>
  <si>
    <t>39728</t>
  </si>
  <si>
    <t>TUBO DE COBRE CLASSE "I", DN = 1 1/2 " (42 MM), PARA INSTALACOES INDUSTRIAIS DE ALTA PRESSAO E VAPOR</t>
  </si>
  <si>
    <t>COMPOSIÇÕES</t>
  </si>
  <si>
    <t>CÓDIGO</t>
  </si>
  <si>
    <t>MATERIAL</t>
  </si>
  <si>
    <t>ORIGEM</t>
  </si>
  <si>
    <t>PREÇO</t>
  </si>
  <si>
    <t>TIPO</t>
  </si>
  <si>
    <t>QTDE</t>
  </si>
  <si>
    <t>PREÇO UN</t>
  </si>
  <si>
    <t>PREÇO TOT</t>
  </si>
  <si>
    <t>QUADRO DE DISTRIBUIÇÃO DE ENERGIA EM CHAPA DE AÇO GALVANIZADO, DE EMBUTOR, COM BARRAMENTO TRIFÁSICO, PARA 60 DISJUNTORES DIN - FORNECIMENTO E INSTALAÇÃO.</t>
  </si>
  <si>
    <t xml:space="preserve">QUADRO DE DISTRIBUICAO COM BARRAMENTO TRIFASICO, DE EMBUTIR, EM CHAPA DE ACO GALVANIZADO, PARA 60 DISJUNTORES DIN, 225 A   </t>
  </si>
  <si>
    <t>ARGAMASSA TRAÇO 1:1:6 (EM VOLUME DE CIMENTO, CAL E AREIA MÉDIA ÚMIDA) PARA EMBOÇO/MASSA ÚNICA/ASSENTAMENTO DE ALVENARIA DE VEDAÇÃO, PREPARO MANUAL. AF_08/2019</t>
  </si>
  <si>
    <t>COEFICIENTE DE REPRESENTATIVIDADE</t>
  </si>
  <si>
    <t>AUXILIAR DE ELETRICISTA COM ENCARGOS COMPLEMENTARES</t>
  </si>
  <si>
    <t>COLETADO</t>
  </si>
  <si>
    <t>ELETROCALHA LISA OU PERFURADA EM AÇO
GALVANIZADO, LARGURA 100MM E ALTURA 50MM,
INCLUSIVE EMENDA E FIXAÇÃO - FORNECIMENTO E
INSTALAÇÃO</t>
  </si>
  <si>
    <t>-</t>
  </si>
  <si>
    <t>ELETROCALHA LISA OU PERFURADA EM CHAPA DE
AÇO GALVANIZADO, LARGURA 100 MM E ALTURA 50
MM, ESPESSURA #18</t>
  </si>
  <si>
    <t>02.INEL.ELCA.012/01</t>
  </si>
  <si>
    <t xml:space="preserve">EMENDA PARA ELETROCALHA, LISA OU
PERFURADA EM AÇO GALVANIZADO, LARGURA DE
100MM E ALTURA DE 50MM - FORNECIMENTO E
INSTALAÇÃO. </t>
  </si>
  <si>
    <t>PERFILADO DE SEÇÃO 38X76 MM PARA SUPORTE
DE ELETROCALHA LISA OU PERFURADA EM AÇO
GALVANIZADO, LARGURA 100 MM E ALTURA 50 MM. AF_07/2017</t>
  </si>
  <si>
    <t>TAMPA ELETROCALHA LARGURA 100 MM</t>
  </si>
  <si>
    <t>AUXILIAR DE ELETRICISTA COM ENCARGOS
COMPLEMENTARES</t>
  </si>
  <si>
    <t>COMPOSIÇÃO X</t>
  </si>
  <si>
    <t>EMENDA PARA ELETROCALHA, LISA OU
PERFURADA EM AÇO GALVANIZADO, LARGURA DE
100MM E ALTURA DE 50MM - FORNECIMENTO E
INSTALAÇÃO. AF_09/2016</t>
  </si>
  <si>
    <t>TALA PARA EMENDA DE ELETROCALHA LISA OU
PERFURADA</t>
  </si>
  <si>
    <t>PARAFUSO CABEÇA LENTILHA ¼” X ¾”</t>
  </si>
  <si>
    <t>ARRUELA SIMPLES ¼”</t>
  </si>
  <si>
    <t>PORCA SEXTAVADA ¼”</t>
  </si>
  <si>
    <t>LUMINÁRIA FECHADA TIPO CALHA, DE EMBUTIR</t>
  </si>
  <si>
    <t>LAMPADA LED TUBULAR BIVOLT 9/10 W, BASE G13</t>
  </si>
  <si>
    <t>LUMINÁRIA TIPO EMBUTIR REDONDA, COM 1 LÂMPADA LED 10 W - FORNECIMENTO E INSTALAÇÃO.</t>
  </si>
  <si>
    <t>LUMINARIA PLAFON REDONDO COM VIDRO FOSCO DIAMETRO *25* CM, PARA 1 LAMPADA, BASE E27, POTENCIA MAXIMA 40/60 W (NAO INCLUI LAMPADA)</t>
  </si>
  <si>
    <t>AS</t>
  </si>
  <si>
    <t>LAMPADA LED 10 W BIVOLT BRANCA, FORMATO TRADICIONAL (BASE E27)</t>
  </si>
  <si>
    <t>DISJUNTOR TERMOMAGNÉTICO TRIPOLAR , CORRENTE NOMINAL DE 175 A</t>
  </si>
  <si>
    <t>TERMINAL A COMPRESSAO EM COBRE ESTANHADO PARA CABO 95 MM2, 1 FURO E 1 COMPRESSAO, PARA PARAFUSO DE FIXACAO M12</t>
  </si>
  <si>
    <t>DISJUNTOR TERMOMAGNÉTICO TRIPOLAR DIN , CORRENTE NOMINAL DE 100 A</t>
  </si>
  <si>
    <t>TERMINAL A COMPRESSAO EM COBRE ESTANHADO PARA CABO 25 MM2, 1 FURO E 1 COMPRESSAO, PARA PARAFUSO DE FIXACAO M8</t>
  </si>
  <si>
    <t>DISPOSITIVO DPS CLASSE II, 1 POLO, TENSAO MAXIMA DE 385 V, CORRENTE MAXIMA DE *20*A (TIPO AC)</t>
  </si>
  <si>
    <t>CONDULETE DE ALUMINIO TIPO LR, PARA ELETRODUTO ROSCAVEL DE 4", COM TAMPA CEGA</t>
  </si>
  <si>
    <t>BUCHA DE NYLON SEM ABA S6, COM PARAFUSO DE 4,20 X 40 MM EM ACO ZINCADO COM ROSCA SOBERBA, CABECA CHATA E FENDA PHILLIPS</t>
  </si>
  <si>
    <t xml:space="preserve">ABRACADEIRA EM ACO PARA AMARRACAO DE ELETRODUTOS, TIPO D, COM 4" E PARAFUSO DE FIXACAO </t>
  </si>
  <si>
    <t>0,3790000</t>
  </si>
  <si>
    <t>11267</t>
  </si>
  <si>
    <t>ARRUELA REDONDA DE LATAO, DIAMETRO EXTERNO = 34 MM, ESPESSURA = 2,5 MM, DIAMETRO DO FURO = 17 MM</t>
  </si>
  <si>
    <t>11976</t>
  </si>
  <si>
    <t>CHUMBADOR, DIAMETRO 1/4" COM PARAFUSO 1/4" X 40 MM</t>
  </si>
  <si>
    <t>39996</t>
  </si>
  <si>
    <t>VERGALHAO ZINCADO ROSCA TOTAL, 1/4 " (6,3 MM)</t>
  </si>
  <si>
    <t>0,0380000</t>
  </si>
  <si>
    <t>39997</t>
  </si>
  <si>
    <t>PORCA ZINCADA, SEXTAVADA, DIAMETRO 1/4"</t>
  </si>
  <si>
    <t>0,0230000</t>
  </si>
  <si>
    <t>0,1670000</t>
  </si>
  <si>
    <t>TE PARA ELETROCALHA, LISA OU PERFURADA EM AÇO GALVANIZADO, LARGURA DE 100MM E ALTURA DE 50MM</t>
  </si>
  <si>
    <t>CURVA HORIZONTAL 90º, PARA ELETROCALHA, LISA
OU PERFURADA EM AÇO GALVANIZADO, LARGURA
DE 100MM E ALTURA DE 50MM - FORNECIMENTO E
INSTALAÇÃO.</t>
  </si>
  <si>
    <t>CURVA HORIZONTAL 90º, PARA ELETROCALHA, LISA
OU PERFURADA EM AÇO GALVANIZADO, LARGURA
DE 100MM E ALTURA DE 50MM</t>
  </si>
  <si>
    <t>COMPOSIÇÃOIE.13</t>
  </si>
  <si>
    <t>CURVA VERTICAL 90º, PARA ELETROCALHA, LISA
OU PERFURADA EM AÇO GALVANIZADO, LARGURA
DE 100MM E ALTURA DE 50MM</t>
  </si>
  <si>
    <t>CAIXA DE PASSAGEM ELETRICA DE PAREDE, DE EMBUTIR, EM PVC, COM TAMPA</t>
  </si>
  <si>
    <t>ARGAMASSA TRAÇO 1:3 (EM VOLUME DE CIMENTO E AREIA MÉDIA ÚMIDA),PREPARO MANUAL. AF_08/2019</t>
  </si>
  <si>
    <t>RACK FECHADO 5U COM PORTA</t>
  </si>
  <si>
    <t>CABO OPTICO CFOT-MM50-EO-06FO COG</t>
  </si>
  <si>
    <t>ENCARGOS SOCIAIS SOBRE A MÃO DE OBRA - DESONERADO - (ANEXO 6)</t>
  </si>
  <si>
    <t>CODIGO</t>
  </si>
  <si>
    <t>DESCRIÇÃO</t>
  </si>
  <si>
    <t>HORISTA</t>
  </si>
  <si>
    <t>MENSALISTA</t>
  </si>
  <si>
    <t>GRUPO –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</si>
  <si>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</si>
  <si>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</si>
  <si>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</si>
  <si>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</si>
  <si>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</si>
  <si>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</si>
  <si>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</si>
  <si>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</si>
  <si>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</si>
  <si>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</si>
  <si>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</si>
  <si>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</si>
  <si>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</si>
  <si>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do Trabalho</t>
  </si>
  <si>
    <t>A8</t>
  </si>
  <si>
    <t>FGTS</t>
  </si>
  <si>
    <t>A9</t>
  </si>
  <si>
    <t>SICONCI</t>
  </si>
  <si>
    <t xml:space="preserve">SUB-TOTAL </t>
  </si>
  <si>
    <t xml:space="preserve">GRUPO - B </t>
  </si>
  <si>
    <t>B1</t>
  </si>
  <si>
    <t>Repouso Semanal Renumerado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</si>
  <si>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</si>
  <si>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</si>
  <si>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</si>
  <si>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</si>
  <si>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</si>
  <si>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</si>
  <si>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</si>
  <si>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</si>
  <si>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</si>
  <si>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</si>
  <si>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</si>
  <si>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</si>
  <si>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</si>
  <si>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</si>
  <si>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</si>
  <si>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</si>
  <si>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</si>
  <si>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</si>
  <si>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Salario Maternidade</t>
  </si>
  <si>
    <t>SUB-TOTAL</t>
  </si>
  <si>
    <t xml:space="preserve">GRUPO - C 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</si>
  <si>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</si>
  <si>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</si>
  <si>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</si>
  <si>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</si>
  <si>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</si>
  <si>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</si>
  <si>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</si>
  <si>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</si>
  <si>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</si>
  <si>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</si>
  <si>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 xml:space="preserve">GRUPO - D 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</si>
  <si>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</si>
  <si>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</si>
  <si>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</si>
  <si>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</si>
  <si>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 (A+B+C+D)</t>
  </si>
  <si>
    <t>PLANILHA DE CÁLCULO DE BDI</t>
  </si>
  <si>
    <t>Parâmetro referenciais das rubricas que compõem o BDI:</t>
  </si>
  <si>
    <t>TIPOS DE OBRA</t>
  </si>
  <si>
    <t>ADMINISTRAÇÃO CENTRAL</t>
  </si>
  <si>
    <t>SEGURO + GARANTIA</t>
  </si>
  <si>
    <t>RISCO</t>
  </si>
  <si>
    <t>Tipo de Obra: 2 - Construção de Rodovias e ferrovias</t>
  </si>
  <si>
    <t>1º Quartil</t>
  </si>
  <si>
    <t>Médio</t>
  </si>
  <si>
    <t>3º Quartil</t>
  </si>
  <si>
    <t>DETALHAMENTO DO BDI</t>
  </si>
  <si>
    <t>CONSTRUÇÃO DE EDIFÍCIOS</t>
  </si>
  <si>
    <t>CONSTRUÇÃO DE RODOVIAS E FERROVIAS</t>
  </si>
  <si>
    <t>Descrição dos Serviços</t>
  </si>
  <si>
    <t>%</t>
  </si>
  <si>
    <t>CONSTRUÇÃO DE REDES DE ABASTECIMENTO DE ÁGUA, COLETA DE ESGOTO E CONSTRUÇÕES CORRELATAS</t>
  </si>
  <si>
    <t>PV</t>
  </si>
  <si>
    <t>CD</t>
  </si>
  <si>
    <t>CONSTRUÇÃO E MANUTENÇÃO DE ESTAÇÕES E REDES DE DISTRIBUIÇÃO DE ENERGIA ELÉTRICA</t>
  </si>
  <si>
    <t>OBRAS PORTUÁRIAS, MARÍTIMAS E FLUVIAIS</t>
  </si>
  <si>
    <t>ADMINISTRAÇÃO CENTRAL - AC</t>
  </si>
  <si>
    <t>ESCRITÓRIO CENTRAL</t>
  </si>
  <si>
    <t>DESPESA FINANCEIRA</t>
  </si>
  <si>
    <t>LUCRO</t>
  </si>
  <si>
    <t>VIAGENS</t>
  </si>
  <si>
    <t>OUTROS</t>
  </si>
  <si>
    <t>IMPOSTOS E TAXAS - I</t>
  </si>
  <si>
    <t>ISS</t>
  </si>
  <si>
    <t>PIS</t>
  </si>
  <si>
    <t>Cofins</t>
  </si>
  <si>
    <t>Desoneração</t>
  </si>
  <si>
    <t>TAXA DE RISCO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</si>
  <si>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color rgb="FF000000"/>
        <rFont val="Calibri"/>
        <family val="2"/>
        <charset val="1"/>
      </rPr>
      <t xml:space="preserve"> Estão sujeitos ao regime cumulativo para fins de incidência da contribuição para o PIS-Pasep e da Cofins, às alíquotas de 0,65% e de 3%, respectivamente.  Quanto ao ISS, a alíquota e o local do recolhimento variará de acordo com o sistema tributário da empresa, local e tipo do serviço.</t>
    </r>
  </si>
  <si>
    <t>SEGURO - S</t>
  </si>
  <si>
    <t>RISCO - R</t>
  </si>
  <si>
    <t>GARANTIA - G</t>
  </si>
  <si>
    <t>DESPESAS FINANCEIRAS - DF</t>
  </si>
  <si>
    <t>LUCRO - L</t>
  </si>
  <si>
    <t>BDI - CALCULADO</t>
  </si>
  <si>
    <t>BDI (CALCULADO):</t>
  </si>
  <si>
    <t>Para o preenchimento da proposta deve-se utilizar o valor de ISS da Prefeitura Local.</t>
  </si>
  <si>
    <t xml:space="preserve">BDI CALCULADO CONFORME ACÓRDÃO Nº 2369/2011 – TCU </t>
  </si>
  <si>
    <t>Fórmula de Cálculo do BDI</t>
  </si>
  <si>
    <t xml:space="preserve">Data proposta 20/04/22                   BDI: 27,71% incluso nos valores                         </t>
  </si>
  <si>
    <t xml:space="preserve">ART Orçamento n° </t>
  </si>
  <si>
    <t>IMPERMEABILIZAÇÃO</t>
  </si>
  <si>
    <t>ÁGUA FRIA</t>
  </si>
  <si>
    <t>LOUÇAS, METAIS E ACESSÓRIOS</t>
  </si>
  <si>
    <t>D E S C R I Ç Ã O</t>
  </si>
  <si>
    <t>ETAPA 1</t>
  </si>
  <si>
    <t>TOTAL ACUMULADO</t>
  </si>
  <si>
    <t>5.2</t>
  </si>
  <si>
    <t>6.3</t>
  </si>
  <si>
    <t>7.4</t>
  </si>
  <si>
    <t>7.5</t>
  </si>
  <si>
    <t>7.6</t>
  </si>
  <si>
    <t>7.7</t>
  </si>
  <si>
    <t>7.9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</si>
  <si>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</si>
  <si>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</si>
  <si>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</si>
  <si>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</si>
  <si>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</si>
  <si>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</si>
  <si>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</si>
  <si>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</si>
  <si>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</si>
  <si>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</si>
  <si>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</si>
  <si>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</si>
  <si>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</si>
  <si>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</si>
  <si>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</si>
  <si>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</si>
  <si>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</si>
  <si>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</si>
  <si>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</si>
  <si>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</si>
  <si>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</si>
  <si>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</si>
  <si>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</si>
  <si>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</si>
  <si>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</si>
  <si>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</si>
  <si>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</si>
  <si>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</si>
  <si>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</si>
  <si>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</si>
  <si>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</si>
  <si>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</si>
  <si>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</si>
  <si>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</si>
  <si>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</si>
  <si>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</si>
  <si>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</si>
  <si>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</si>
  <si>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</si>
  <si>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</si>
  <si>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</si>
  <si>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</si>
  <si>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</si>
  <si>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</si>
  <si>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</si>
  <si>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</si>
  <si>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</si>
  <si>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</si>
  <si>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</si>
  <si>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</si>
  <si>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</si>
  <si>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</si>
  <si>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</si>
  <si>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</si>
  <si>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</si>
  <si>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</si>
  <si>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</si>
  <si>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</si>
  <si>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</si>
  <si>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</si>
  <si>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14.2</t>
  </si>
  <si>
    <t>ETAPA 2</t>
  </si>
  <si>
    <t>ETAPA 3</t>
  </si>
  <si>
    <t>___________________________________________</t>
  </si>
  <si>
    <t>CREA 169093</t>
  </si>
  <si>
    <t>Pedro José Dorneles Müller - eng. Civil</t>
  </si>
  <si>
    <t xml:space="preserve">                  Rafael Silveira - eng. Eletricista</t>
  </si>
  <si>
    <t xml:space="preserve">                                  CREA 136938</t>
  </si>
  <si>
    <t>REFORMA DO CENTRO OBSTÉTRICO E BERÇÁRIO DE CUIDADOS INTERMEDIÁRIOS DO HOSPITAL GETÚLIO VARGAS</t>
  </si>
  <si>
    <t>CRONOGRAMA FÍSICO-FINANCEIRO</t>
  </si>
  <si>
    <t>88484</t>
  </si>
  <si>
    <t>APLICAÇÃO DE FUNDO SELADOR ACRÍLICO EM TETO, UMA DEMÃO. AF_06/2014</t>
  </si>
  <si>
    <t>11.8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</si>
</sst>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&quot;R$ &quot;* #,##0.00_-;&quot;-R$ &quot;* #,##0.00_-;_-&quot;R$ &quot;* \-??_-;_-@_-"/>
    <numFmt numFmtId="165" formatCode="_(&quot;R$ &quot;* #,##0.00_);_(&quot;R$ &quot;* \(#,##0.00\);_(&quot;R$ &quot;* \-??_);_(@_)"/>
    <numFmt numFmtId="166" formatCode="_-* #,##0.00_-;\-* #,##0.00_-;_-* \-??_-;_-@_-"/>
    <numFmt numFmtId="167" formatCode="&quot;R$ &quot;#,##0.00"/>
    <numFmt numFmtId="168" formatCode="#,##0.00000"/>
    <numFmt numFmtId="169" formatCode="#,##0.000"/>
    <numFmt numFmtId="170" formatCode="_(* #,##0.00_);_(* \(#,##0.00\);_(* \-??_);_(@_)"/>
    <numFmt numFmtId="171" formatCode="&quot;R$&quot;\ #,##0.00"/>
  </numFmts>
  <fonts count="55">
    <font>
      <sz val="11"/>
      <color rgb="FF000000"/>
      <name val="Calibri"/>
      <family val="2"/>
      <charset val="1"/>
    </font>
    <font>
      <sz val="10"/>
      <name val="Arial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  <charset val="1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8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ourier New"/>
      <family val="3"/>
      <charset val="1"/>
    </font>
    <font>
      <b/>
      <sz val="8"/>
      <color rgb="FFFF0000"/>
      <name val="Courier New"/>
      <family val="3"/>
      <charset val="1"/>
    </font>
    <font>
      <sz val="8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8"/>
      <color rgb="FF008000"/>
      <name val="Courier New"/>
      <family val="3"/>
      <charset val="1"/>
    </font>
    <font>
      <sz val="8"/>
      <color rgb="FF008000"/>
      <name val="Courier New"/>
      <family val="3"/>
      <charset val="1"/>
    </font>
    <font>
      <sz val="14"/>
      <name val="Courier New"/>
      <family val="3"/>
      <charset val="1"/>
    </font>
    <font>
      <sz val="10"/>
      <name val="Courier New"/>
      <family val="3"/>
      <charset val="1"/>
    </font>
    <font>
      <b/>
      <sz val="8"/>
      <name val="Courier New"/>
      <family val="3"/>
      <charset val="1"/>
    </font>
    <font>
      <sz val="8"/>
      <name val="Courier New"/>
      <family val="3"/>
      <charset val="1"/>
    </font>
    <font>
      <sz val="8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sz val="12.5"/>
      <name val="Calibri"/>
      <family val="2"/>
      <charset val="1"/>
    </font>
    <font>
      <sz val="10"/>
      <name val="Courier New"/>
      <family val="3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rgb="FFFFFF00"/>
        <bgColor rgb="FFFFFFCC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38" fillId="0" borderId="0" applyBorder="0" applyProtection="0"/>
    <xf numFmtId="164" fontId="38" fillId="0" borderId="0" applyBorder="0" applyProtection="0"/>
    <xf numFmtId="9" fontId="1" fillId="0" borderId="0" applyBorder="0" applyAlignment="0" applyProtection="0"/>
    <xf numFmtId="0" fontId="33" fillId="2" borderId="0"/>
    <xf numFmtId="0" fontId="42" fillId="0" borderId="0"/>
    <xf numFmtId="9" fontId="42" fillId="0" borderId="0" applyFont="0" applyFill="0" applyBorder="0" applyAlignment="0" applyProtection="0"/>
  </cellStyleXfs>
  <cellXfs count="4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2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2" applyNumberFormat="1" applyFont="1" applyBorder="1" applyAlignment="1" applyProtection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165" fontId="2" fillId="0" borderId="5" xfId="2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165" fontId="3" fillId="0" borderId="8" xfId="2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2" fontId="2" fillId="3" borderId="13" xfId="0" applyNumberFormat="1" applyFont="1" applyFill="1" applyBorder="1" applyAlignment="1">
      <alignment vertical="center"/>
    </xf>
    <xf numFmtId="165" fontId="2" fillId="3" borderId="13" xfId="2" applyNumberFormat="1" applyFont="1" applyFill="1" applyBorder="1" applyAlignment="1" applyProtection="1">
      <alignment horizontal="right" vertical="center"/>
    </xf>
    <xf numFmtId="167" fontId="2" fillId="3" borderId="13" xfId="0" applyNumberFormat="1" applyFont="1" applyFill="1" applyBorder="1" applyAlignment="1">
      <alignment horizontal="distributed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 applyProtection="1">
      <alignment horizontal="right" vertical="center"/>
    </xf>
    <xf numFmtId="167" fontId="3" fillId="5" borderId="20" xfId="0" applyNumberFormat="1" applyFont="1" applyFill="1" applyBorder="1" applyAlignment="1">
      <alignment horizontal="distributed" vertical="center"/>
    </xf>
    <xf numFmtId="167" fontId="3" fillId="5" borderId="16" xfId="0" applyNumberFormat="1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5" borderId="19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2" fontId="2" fillId="3" borderId="13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165" fontId="2" fillId="3" borderId="8" xfId="2" applyNumberFormat="1" applyFont="1" applyFill="1" applyBorder="1" applyAlignment="1" applyProtection="1">
      <alignment horizontal="right" vertical="center"/>
    </xf>
    <xf numFmtId="167" fontId="2" fillId="3" borderId="8" xfId="0" applyNumberFormat="1" applyFont="1" applyFill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7" fontId="3" fillId="5" borderId="24" xfId="0" applyNumberFormat="1" applyFont="1" applyFill="1" applyBorder="1" applyAlignment="1">
      <alignment horizontal="distributed" vertical="center"/>
    </xf>
    <xf numFmtId="165" fontId="3" fillId="5" borderId="20" xfId="2" applyNumberFormat="1" applyFont="1" applyFill="1" applyBorder="1" applyAlignment="1" applyProtection="1">
      <alignment horizontal="right" vertical="center"/>
    </xf>
    <xf numFmtId="0" fontId="2" fillId="6" borderId="0" xfId="0" applyFont="1" applyFill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vertical="center"/>
    </xf>
    <xf numFmtId="167" fontId="2" fillId="0" borderId="13" xfId="0" applyNumberFormat="1" applyFont="1" applyBorder="1" applyAlignment="1">
      <alignment horizontal="distributed" vertical="center"/>
    </xf>
    <xf numFmtId="0" fontId="3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2" fillId="0" borderId="13" xfId="2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>
      <alignment horizontal="center" vertical="center" wrapText="1"/>
    </xf>
    <xf numFmtId="2" fontId="2" fillId="5" borderId="19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horizontal="center" vertical="center"/>
    </xf>
    <xf numFmtId="165" fontId="2" fillId="5" borderId="19" xfId="2" applyNumberFormat="1" applyFont="1" applyFill="1" applyBorder="1" applyAlignment="1" applyProtection="1">
      <alignment horizontal="right" vertical="center"/>
    </xf>
    <xf numFmtId="167" fontId="2" fillId="5" borderId="20" xfId="0" applyNumberFormat="1" applyFont="1" applyFill="1" applyBorder="1" applyAlignment="1">
      <alignment horizontal="distributed" vertical="center"/>
    </xf>
    <xf numFmtId="2" fontId="2" fillId="5" borderId="38" xfId="0" applyNumberFormat="1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165" fontId="2" fillId="5" borderId="39" xfId="2" applyNumberFormat="1" applyFont="1" applyFill="1" applyBorder="1" applyAlignment="1" applyProtection="1">
      <alignment horizontal="right" vertical="center"/>
    </xf>
    <xf numFmtId="167" fontId="2" fillId="5" borderId="39" xfId="0" applyNumberFormat="1" applyFont="1" applyFill="1" applyBorder="1" applyAlignment="1">
      <alignment horizontal="distributed" vertical="center"/>
    </xf>
    <xf numFmtId="166" fontId="3" fillId="5" borderId="40" xfId="1" applyFont="1" applyFill="1" applyBorder="1" applyAlignment="1" applyProtection="1">
      <alignment horizontal="distributed" vertical="center"/>
    </xf>
    <xf numFmtId="4" fontId="2" fillId="0" borderId="0" xfId="2" applyNumberFormat="1" applyFont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5" fontId="2" fillId="0" borderId="8" xfId="2" applyNumberFormat="1" applyFont="1" applyBorder="1" applyAlignment="1" applyProtection="1">
      <alignment horizontal="right" vertical="center"/>
    </xf>
    <xf numFmtId="167" fontId="2" fillId="0" borderId="8" xfId="0" applyNumberFormat="1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8" xfId="2" applyNumberFormat="1" applyFont="1" applyBorder="1" applyAlignment="1" applyProtection="1">
      <alignment horizontal="right" vertical="center"/>
    </xf>
    <xf numFmtId="165" fontId="2" fillId="3" borderId="13" xfId="2" applyNumberFormat="1" applyFont="1" applyFill="1" applyBorder="1" applyAlignment="1" applyProtection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165" fontId="2" fillId="0" borderId="16" xfId="2" applyNumberFormat="1" applyFont="1" applyBorder="1" applyAlignment="1" applyProtection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8" fillId="0" borderId="13" xfId="2" applyNumberFormat="1" applyFont="1" applyBorder="1" applyAlignment="1" applyProtection="1">
      <alignment horizontal="right" vertical="center"/>
    </xf>
    <xf numFmtId="165" fontId="2" fillId="0" borderId="8" xfId="2" applyNumberFormat="1" applyFont="1" applyBorder="1" applyAlignment="1" applyProtection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13" xfId="0" applyFont="1" applyBorder="1" applyAlignment="1">
      <alignment wrapText="1"/>
    </xf>
    <xf numFmtId="0" fontId="12" fillId="0" borderId="0" xfId="0" applyFont="1"/>
    <xf numFmtId="0" fontId="13" fillId="3" borderId="42" xfId="4" applyFont="1" applyFill="1" applyBorder="1" applyAlignment="1">
      <alignment horizontal="center" vertical="center" wrapText="1"/>
    </xf>
    <xf numFmtId="0" fontId="13" fillId="3" borderId="43" xfId="4" applyFont="1" applyFill="1" applyBorder="1" applyAlignment="1">
      <alignment horizontal="center" vertical="center" wrapText="1"/>
    </xf>
    <xf numFmtId="0" fontId="13" fillId="3" borderId="43" xfId="4" applyFont="1" applyFill="1" applyBorder="1" applyAlignment="1">
      <alignment horizontal="left" vertical="center" wrapText="1"/>
    </xf>
    <xf numFmtId="4" fontId="13" fillId="3" borderId="43" xfId="4" applyNumberFormat="1" applyFont="1" applyFill="1" applyBorder="1" applyAlignment="1">
      <alignment horizontal="center" vertical="center" wrapText="1"/>
    </xf>
    <xf numFmtId="167" fontId="14" fillId="5" borderId="44" xfId="0" applyNumberFormat="1" applyFont="1" applyFill="1" applyBorder="1" applyAlignment="1">
      <alignment vertical="center"/>
    </xf>
    <xf numFmtId="0" fontId="15" fillId="0" borderId="0" xfId="0" applyFont="1"/>
    <xf numFmtId="0" fontId="16" fillId="3" borderId="8" xfId="4" applyFont="1" applyFill="1" applyBorder="1" applyAlignment="1">
      <alignment horizontal="center" vertical="center" wrapText="1"/>
    </xf>
    <xf numFmtId="0" fontId="16" fillId="3" borderId="8" xfId="4" applyFont="1" applyFill="1" applyBorder="1" applyAlignment="1">
      <alignment horizontal="left" vertical="center" wrapText="1"/>
    </xf>
    <xf numFmtId="4" fontId="16" fillId="3" borderId="8" xfId="4" applyNumberFormat="1" applyFont="1" applyFill="1" applyBorder="1" applyAlignment="1">
      <alignment horizontal="center" vertical="center" wrapText="1"/>
    </xf>
    <xf numFmtId="167" fontId="0" fillId="0" borderId="8" xfId="0" applyNumberFormat="1" applyBorder="1" applyAlignment="1">
      <alignment vertical="center"/>
    </xf>
    <xf numFmtId="0" fontId="16" fillId="3" borderId="13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left" vertical="center" wrapText="1"/>
    </xf>
    <xf numFmtId="4" fontId="16" fillId="3" borderId="13" xfId="4" applyNumberFormat="1" applyFont="1" applyFill="1" applyBorder="1" applyAlignment="1">
      <alignment horizontal="center" vertical="center" wrapText="1"/>
    </xf>
    <xf numFmtId="167" fontId="0" fillId="0" borderId="13" xfId="0" applyNumberFormat="1" applyBorder="1" applyAlignment="1">
      <alignment vertical="center"/>
    </xf>
    <xf numFmtId="0" fontId="16" fillId="0" borderId="13" xfId="4" applyFont="1" applyFill="1" applyBorder="1" applyAlignment="1">
      <alignment horizontal="center" vertical="center" wrapText="1"/>
    </xf>
    <xf numFmtId="0" fontId="17" fillId="0" borderId="13" xfId="4" applyFont="1" applyFill="1" applyBorder="1" applyAlignment="1">
      <alignment horizontal="left" vertical="center" wrapText="1"/>
    </xf>
    <xf numFmtId="4" fontId="16" fillId="0" borderId="13" xfId="4" applyNumberFormat="1" applyFont="1" applyFill="1" applyBorder="1" applyAlignment="1">
      <alignment horizontal="center" vertical="center" wrapText="1"/>
    </xf>
    <xf numFmtId="167" fontId="0" fillId="0" borderId="13" xfId="0" applyNumberFormat="1" applyBorder="1" applyAlignment="1">
      <alignment vertical="center"/>
    </xf>
    <xf numFmtId="0" fontId="18" fillId="0" borderId="0" xfId="0" applyFont="1"/>
    <xf numFmtId="168" fontId="16" fillId="3" borderId="8" xfId="4" applyNumberFormat="1" applyFont="1" applyFill="1" applyBorder="1" applyAlignment="1">
      <alignment horizontal="center" vertical="center" wrapText="1"/>
    </xf>
    <xf numFmtId="168" fontId="16" fillId="3" borderId="13" xfId="4" applyNumberFormat="1" applyFont="1" applyFill="1" applyBorder="1" applyAlignment="1">
      <alignment horizontal="center" vertical="center" wrapText="1"/>
    </xf>
    <xf numFmtId="0" fontId="17" fillId="3" borderId="13" xfId="4" applyFont="1" applyFill="1" applyBorder="1" applyAlignment="1">
      <alignment horizontal="left" vertical="center" wrapText="1"/>
    </xf>
    <xf numFmtId="0" fontId="19" fillId="0" borderId="0" xfId="0" applyFont="1"/>
    <xf numFmtId="0" fontId="20" fillId="3" borderId="43" xfId="4" applyFont="1" applyFill="1" applyBorder="1" applyAlignment="1">
      <alignment horizontal="left" vertical="center" wrapText="1"/>
    </xf>
    <xf numFmtId="0" fontId="21" fillId="3" borderId="13" xfId="4" applyFont="1" applyFill="1" applyBorder="1" applyAlignment="1">
      <alignment horizontal="center" vertical="center" wrapText="1"/>
    </xf>
    <xf numFmtId="0" fontId="21" fillId="3" borderId="13" xfId="4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4" fontId="13" fillId="3" borderId="13" xfId="4" applyNumberFormat="1" applyFont="1" applyFill="1" applyBorder="1" applyAlignment="1">
      <alignment horizontal="center" vertical="center" wrapText="1"/>
    </xf>
    <xf numFmtId="167" fontId="14" fillId="5" borderId="13" xfId="0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0" fillId="0" borderId="13" xfId="0" applyFont="1" applyBorder="1" applyAlignment="1">
      <alignment horizontal="center"/>
    </xf>
    <xf numFmtId="166" fontId="0" fillId="0" borderId="13" xfId="1" applyFont="1" applyBorder="1" applyAlignment="1" applyProtection="1">
      <alignment vertical="center"/>
    </xf>
    <xf numFmtId="0" fontId="24" fillId="0" borderId="13" xfId="0" applyFont="1" applyBorder="1" applyAlignment="1">
      <alignment wrapText="1"/>
    </xf>
    <xf numFmtId="4" fontId="13" fillId="3" borderId="45" xfId="4" applyNumberFormat="1" applyFont="1" applyFill="1" applyBorder="1" applyAlignment="1">
      <alignment horizontal="center" vertical="center" wrapText="1"/>
    </xf>
    <xf numFmtId="167" fontId="14" fillId="5" borderId="29" xfId="0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0" fontId="0" fillId="0" borderId="13" xfId="0" applyBorder="1" applyAlignment="1">
      <alignment vertical="center"/>
    </xf>
    <xf numFmtId="0" fontId="25" fillId="0" borderId="0" xfId="0" applyFont="1" applyAlignment="1">
      <alignment wrapText="1"/>
    </xf>
    <xf numFmtId="169" fontId="16" fillId="3" borderId="13" xfId="4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0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wrapText="1"/>
    </xf>
    <xf numFmtId="4" fontId="27" fillId="0" borderId="13" xfId="4" applyNumberFormat="1" applyFont="1" applyFill="1" applyBorder="1" applyAlignment="1">
      <alignment horizontal="center" vertical="center" wrapText="1"/>
    </xf>
    <xf numFmtId="166" fontId="27" fillId="0" borderId="13" xfId="1" applyFont="1" applyBorder="1" applyAlignment="1" applyProtection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6" fontId="0" fillId="0" borderId="13" xfId="1" applyFont="1" applyBorder="1" applyAlignment="1" applyProtection="1"/>
    <xf numFmtId="166" fontId="15" fillId="0" borderId="13" xfId="1" applyFont="1" applyBorder="1" applyAlignment="1" applyProtection="1"/>
    <xf numFmtId="0" fontId="26" fillId="0" borderId="0" xfId="0" applyFont="1" applyAlignment="1">
      <alignment wrapText="1"/>
    </xf>
    <xf numFmtId="166" fontId="16" fillId="3" borderId="13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6" fontId="14" fillId="0" borderId="13" xfId="0" applyNumberFormat="1" applyFont="1" applyBorder="1"/>
    <xf numFmtId="0" fontId="28" fillId="0" borderId="13" xfId="0" applyFont="1" applyBorder="1" applyAlignment="1">
      <alignment wrapText="1"/>
    </xf>
    <xf numFmtId="0" fontId="26" fillId="0" borderId="13" xfId="0" applyFont="1" applyBorder="1" applyAlignment="1">
      <alignment horizontal="center"/>
    </xf>
    <xf numFmtId="166" fontId="26" fillId="0" borderId="13" xfId="1" applyFont="1" applyBorder="1" applyAlignment="1" applyProtection="1">
      <alignment horizontal="center"/>
    </xf>
    <xf numFmtId="166" fontId="14" fillId="0" borderId="8" xfId="0" applyNumberFormat="1" applyFont="1" applyBorder="1"/>
    <xf numFmtId="0" fontId="29" fillId="0" borderId="6" xfId="4" applyFont="1" applyFill="1" applyBorder="1" applyAlignment="1">
      <alignment horizontal="center"/>
    </xf>
    <xf numFmtId="0" fontId="0" fillId="0" borderId="26" xfId="4" applyFont="1" applyFill="1" applyBorder="1" applyAlignment="1">
      <alignment vertical="top" wrapText="1"/>
    </xf>
    <xf numFmtId="0" fontId="30" fillId="0" borderId="46" xfId="4" applyFont="1" applyFill="1" applyBorder="1" applyAlignment="1">
      <alignment horizontal="center"/>
    </xf>
    <xf numFmtId="0" fontId="31" fillId="0" borderId="21" xfId="4" applyFont="1" applyFill="1" applyBorder="1" applyAlignment="1">
      <alignment horizontal="center"/>
    </xf>
    <xf numFmtId="0" fontId="13" fillId="3" borderId="16" xfId="4" applyFont="1" applyFill="1" applyBorder="1" applyAlignment="1">
      <alignment horizontal="center" vertical="center" wrapText="1"/>
    </xf>
    <xf numFmtId="4" fontId="13" fillId="3" borderId="16" xfId="4" applyNumberFormat="1" applyFont="1" applyFill="1" applyBorder="1" applyAlignment="1">
      <alignment horizontal="center" vertical="center" wrapText="1"/>
    </xf>
    <xf numFmtId="0" fontId="30" fillId="0" borderId="29" xfId="4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vertical="center" wrapText="1"/>
    </xf>
    <xf numFmtId="0" fontId="32" fillId="0" borderId="13" xfId="4" applyFont="1" applyFill="1" applyBorder="1" applyAlignment="1">
      <alignment horizontal="center" vertical="center"/>
    </xf>
    <xf numFmtId="2" fontId="33" fillId="0" borderId="13" xfId="4" applyNumberFormat="1" applyFill="1" applyBorder="1" applyAlignment="1" applyProtection="1">
      <alignment horizontal="center" vertical="center"/>
    </xf>
    <xf numFmtId="166" fontId="34" fillId="0" borderId="13" xfId="1" applyFont="1" applyBorder="1" applyAlignment="1" applyProtection="1">
      <alignment vertical="center"/>
    </xf>
    <xf numFmtId="167" fontId="0" fillId="0" borderId="13" xfId="4" applyNumberFormat="1" applyFont="1" applyFill="1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wrapText="1"/>
    </xf>
    <xf numFmtId="0" fontId="34" fillId="0" borderId="13" xfId="0" applyFont="1" applyBorder="1" applyAlignment="1">
      <alignment horizontal="center"/>
    </xf>
    <xf numFmtId="0" fontId="0" fillId="3" borderId="13" xfId="0" applyFont="1" applyFill="1" applyBorder="1" applyAlignment="1">
      <alignment vertical="center" wrapText="1"/>
    </xf>
    <xf numFmtId="0" fontId="0" fillId="0" borderId="0" xfId="0" applyFont="1"/>
    <xf numFmtId="167" fontId="14" fillId="0" borderId="13" xfId="0" applyNumberFormat="1" applyFont="1" applyBorder="1"/>
    <xf numFmtId="0" fontId="16" fillId="0" borderId="13" xfId="4" applyFont="1" applyFill="1" applyBorder="1" applyAlignment="1">
      <alignment horizontal="left" vertical="center" wrapText="1"/>
    </xf>
    <xf numFmtId="166" fontId="15" fillId="0" borderId="0" xfId="1" applyFont="1" applyBorder="1" applyAlignment="1" applyProtection="1"/>
    <xf numFmtId="166" fontId="27" fillId="0" borderId="13" xfId="0" applyNumberFormat="1" applyFont="1" applyBorder="1"/>
    <xf numFmtId="4" fontId="27" fillId="3" borderId="13" xfId="4" applyNumberFormat="1" applyFont="1" applyFill="1" applyBorder="1" applyAlignment="1">
      <alignment horizontal="center" vertical="center" wrapText="1"/>
    </xf>
    <xf numFmtId="166" fontId="15" fillId="0" borderId="0" xfId="1" applyFont="1" applyBorder="1" applyAlignment="1" applyProtection="1">
      <alignment horizontal="center"/>
    </xf>
    <xf numFmtId="4" fontId="0" fillId="0" borderId="0" xfId="0" applyNumberFormat="1"/>
    <xf numFmtId="0" fontId="14" fillId="0" borderId="13" xfId="0" applyFont="1" applyBorder="1" applyAlignment="1">
      <alignment horizontal="center"/>
    </xf>
    <xf numFmtId="166" fontId="14" fillId="0" borderId="13" xfId="1" applyFont="1" applyBorder="1" applyAlignment="1" applyProtection="1"/>
    <xf numFmtId="0" fontId="23" fillId="0" borderId="0" xfId="4" applyFont="1" applyFill="1" applyAlignment="1">
      <alignment horizontal="left"/>
    </xf>
    <xf numFmtId="0" fontId="23" fillId="0" borderId="0" xfId="4" applyFont="1" applyFill="1" applyAlignment="1">
      <alignment horizontal="left"/>
    </xf>
    <xf numFmtId="0" fontId="32" fillId="0" borderId="0" xfId="0" applyFont="1"/>
    <xf numFmtId="0" fontId="35" fillId="0" borderId="0" xfId="0" applyFont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1" xfId="0" applyFont="1" applyBorder="1" applyAlignment="1">
      <alignment horizont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center" vertical="center"/>
    </xf>
    <xf numFmtId="2" fontId="36" fillId="0" borderId="41" xfId="0" applyNumberFormat="1" applyFont="1" applyBorder="1" applyAlignment="1">
      <alignment horizontal="center" vertical="center"/>
    </xf>
    <xf numFmtId="0" fontId="32" fillId="0" borderId="41" xfId="0" applyFont="1" applyBorder="1" applyAlignment="1">
      <alignment horizontal="center" wrapText="1"/>
    </xf>
    <xf numFmtId="0" fontId="32" fillId="0" borderId="41" xfId="0" applyFont="1" applyBorder="1" applyAlignment="1">
      <alignment horizontal="center"/>
    </xf>
    <xf numFmtId="0" fontId="32" fillId="0" borderId="41" xfId="0" applyFont="1" applyBorder="1"/>
    <xf numFmtId="2" fontId="32" fillId="0" borderId="41" xfId="0" applyNumberFormat="1" applyFont="1" applyBorder="1"/>
    <xf numFmtId="0" fontId="32" fillId="0" borderId="41" xfId="0" applyFont="1" applyBorder="1" applyAlignment="1">
      <alignment horizontal="left" wrapText="1"/>
    </xf>
    <xf numFmtId="0" fontId="32" fillId="0" borderId="41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7" fillId="0" borderId="4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left" vertical="center" wrapText="1"/>
    </xf>
    <xf numFmtId="0" fontId="42" fillId="0" borderId="12" xfId="5" applyFont="1" applyBorder="1"/>
    <xf numFmtId="0" fontId="42" fillId="0" borderId="13" xfId="5" applyFont="1" applyBorder="1"/>
    <xf numFmtId="0" fontId="42" fillId="0" borderId="14" xfId="5" applyFont="1" applyBorder="1"/>
    <xf numFmtId="0" fontId="44" fillId="8" borderId="12" xfId="5" applyFont="1" applyFill="1" applyBorder="1"/>
    <xf numFmtId="0" fontId="44" fillId="8" borderId="13" xfId="5" applyFont="1" applyFill="1" applyBorder="1" applyAlignment="1">
      <alignment horizontal="center"/>
    </xf>
    <xf numFmtId="0" fontId="44" fillId="8" borderId="14" xfId="5" applyFont="1" applyFill="1" applyBorder="1" applyAlignment="1">
      <alignment horizontal="center"/>
    </xf>
    <xf numFmtId="0" fontId="42" fillId="0" borderId="13" xfId="5" applyFont="1" applyBorder="1" applyAlignment="1">
      <alignment horizontal="center"/>
    </xf>
    <xf numFmtId="0" fontId="42" fillId="0" borderId="14" xfId="5" applyFont="1" applyBorder="1" applyAlignment="1">
      <alignment horizontal="center"/>
    </xf>
    <xf numFmtId="0" fontId="44" fillId="0" borderId="12" xfId="5" applyFont="1" applyBorder="1"/>
    <xf numFmtId="10" fontId="44" fillId="0" borderId="14" xfId="6" applyNumberFormat="1" applyFont="1" applyBorder="1"/>
    <xf numFmtId="10" fontId="45" fillId="0" borderId="13" xfId="6" applyNumberFormat="1" applyFont="1" applyBorder="1" applyAlignment="1">
      <alignment horizontal="center"/>
    </xf>
    <xf numFmtId="10" fontId="45" fillId="0" borderId="14" xfId="6" applyNumberFormat="1" applyFont="1" applyBorder="1" applyAlignment="1">
      <alignment horizontal="center"/>
    </xf>
    <xf numFmtId="0" fontId="44" fillId="0" borderId="13" xfId="5" applyFont="1" applyBorder="1"/>
    <xf numFmtId="10" fontId="44" fillId="0" borderId="13" xfId="6" applyNumberFormat="1" applyFont="1" applyBorder="1" applyAlignment="1">
      <alignment horizontal="center"/>
    </xf>
    <xf numFmtId="10" fontId="44" fillId="0" borderId="14" xfId="6" applyNumberFormat="1" applyFont="1" applyBorder="1" applyAlignment="1">
      <alignment horizontal="center"/>
    </xf>
    <xf numFmtId="0" fontId="42" fillId="0" borderId="13" xfId="5" applyFont="1" applyBorder="1" applyAlignment="1">
      <alignment horizontal="justify"/>
    </xf>
    <xf numFmtId="0" fontId="42" fillId="0" borderId="12" xfId="5" applyFont="1" applyBorder="1" applyAlignment="1">
      <alignment vertical="center"/>
    </xf>
    <xf numFmtId="10" fontId="45" fillId="0" borderId="13" xfId="6" applyNumberFormat="1" applyFont="1" applyBorder="1" applyAlignment="1">
      <alignment horizontal="center" vertical="center"/>
    </xf>
    <xf numFmtId="10" fontId="45" fillId="0" borderId="14" xfId="6" applyNumberFormat="1" applyFont="1" applyBorder="1" applyAlignment="1">
      <alignment horizontal="center" vertical="center"/>
    </xf>
    <xf numFmtId="10" fontId="44" fillId="0" borderId="13" xfId="5" applyNumberFormat="1" applyFont="1" applyBorder="1" applyAlignment="1">
      <alignment horizontal="center"/>
    </xf>
    <xf numFmtId="10" fontId="44" fillId="0" borderId="14" xfId="5" applyNumberFormat="1" applyFont="1" applyBorder="1" applyAlignment="1">
      <alignment horizontal="center"/>
    </xf>
    <xf numFmtId="10" fontId="44" fillId="8" borderId="35" xfId="5" applyNumberFormat="1" applyFont="1" applyFill="1" applyBorder="1" applyAlignment="1">
      <alignment horizontal="center"/>
    </xf>
    <xf numFmtId="10" fontId="44" fillId="8" borderId="36" xfId="5" applyNumberFormat="1" applyFont="1" applyFill="1" applyBorder="1" applyAlignment="1">
      <alignment horizontal="center"/>
    </xf>
    <xf numFmtId="0" fontId="41" fillId="10" borderId="0" xfId="0" applyFont="1" applyFill="1"/>
    <xf numFmtId="0" fontId="41" fillId="11" borderId="0" xfId="0" applyFont="1" applyFill="1"/>
    <xf numFmtId="0" fontId="40" fillId="9" borderId="42" xfId="0" applyFont="1" applyFill="1" applyBorder="1"/>
    <xf numFmtId="0" fontId="40" fillId="9" borderId="43" xfId="0" applyFont="1" applyFill="1" applyBorder="1"/>
    <xf numFmtId="0" fontId="40" fillId="9" borderId="26" xfId="0" applyFont="1" applyFill="1" applyBorder="1"/>
    <xf numFmtId="0" fontId="39" fillId="10" borderId="0" xfId="0" applyFont="1" applyFill="1"/>
    <xf numFmtId="0" fontId="41" fillId="10" borderId="2" xfId="0" applyFont="1" applyFill="1" applyBorder="1"/>
    <xf numFmtId="0" fontId="41" fillId="10" borderId="21" xfId="0" applyFont="1" applyFill="1" applyBorder="1"/>
    <xf numFmtId="0" fontId="0" fillId="0" borderId="7" xfId="0" applyBorder="1"/>
    <xf numFmtId="10" fontId="0" fillId="0" borderId="42" xfId="0" applyNumberFormat="1" applyBorder="1" applyAlignment="1">
      <alignment horizontal="center" vertical="center"/>
    </xf>
    <xf numFmtId="10" fontId="0" fillId="0" borderId="43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43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12" borderId="49" xfId="0" applyFont="1" applyFill="1" applyBorder="1" applyAlignment="1">
      <alignment horizontal="center" vertical="center"/>
    </xf>
    <xf numFmtId="0" fontId="0" fillId="12" borderId="50" xfId="0" applyFont="1" applyFill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0" fillId="13" borderId="52" xfId="0" applyFill="1" applyBorder="1"/>
    <xf numFmtId="0" fontId="0" fillId="13" borderId="53" xfId="0" applyFill="1" applyBorder="1"/>
    <xf numFmtId="0" fontId="0" fillId="11" borderId="54" xfId="0" applyFill="1" applyBorder="1" applyAlignment="1">
      <alignment vertical="center" wrapText="1"/>
    </xf>
    <xf numFmtId="10" fontId="0" fillId="0" borderId="55" xfId="0" applyNumberFormat="1" applyBorder="1" applyAlignment="1">
      <alignment horizontal="center" vertical="center"/>
    </xf>
    <xf numFmtId="10" fontId="0" fillId="0" borderId="56" xfId="0" applyNumberFormat="1" applyBorder="1" applyAlignment="1">
      <alignment horizontal="center" vertical="center"/>
    </xf>
    <xf numFmtId="10" fontId="0" fillId="0" borderId="53" xfId="0" applyNumberFormat="1" applyBorder="1" applyAlignment="1">
      <alignment horizontal="center" vertical="center"/>
    </xf>
    <xf numFmtId="0" fontId="44" fillId="12" borderId="58" xfId="0" applyFont="1" applyFill="1" applyBorder="1" applyAlignment="1">
      <alignment horizontal="center" vertical="center"/>
    </xf>
    <xf numFmtId="0" fontId="44" fillId="12" borderId="59" xfId="0" applyFont="1" applyFill="1" applyBorder="1" applyAlignment="1">
      <alignment horizontal="center" vertical="center"/>
    </xf>
    <xf numFmtId="0" fontId="0" fillId="13" borderId="0" xfId="0" applyFill="1" applyBorder="1"/>
    <xf numFmtId="0" fontId="0" fillId="13" borderId="28" xfId="0" applyFill="1" applyBorder="1"/>
    <xf numFmtId="0" fontId="0" fillId="11" borderId="54" xfId="0" applyFill="1" applyBorder="1" applyAlignment="1">
      <alignment wrapText="1"/>
    </xf>
    <xf numFmtId="0" fontId="44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4" fillId="0" borderId="61" xfId="0" applyFont="1" applyFill="1" applyBorder="1" applyAlignment="1">
      <alignment horizontal="center" vertical="center"/>
    </xf>
    <xf numFmtId="0" fontId="44" fillId="0" borderId="62" xfId="0" applyFont="1" applyFill="1" applyBorder="1" applyAlignment="1">
      <alignment horizontal="center" vertical="center"/>
    </xf>
    <xf numFmtId="0" fontId="0" fillId="0" borderId="63" xfId="0" applyBorder="1"/>
    <xf numFmtId="10" fontId="0" fillId="0" borderId="64" xfId="0" applyNumberFormat="1" applyBorder="1" applyAlignment="1">
      <alignment horizontal="center"/>
    </xf>
    <xf numFmtId="10" fontId="0" fillId="0" borderId="65" xfId="0" applyNumberFormat="1" applyBorder="1" applyAlignment="1">
      <alignment horizontal="center" vertical="center"/>
    </xf>
    <xf numFmtId="10" fontId="0" fillId="0" borderId="66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10" fontId="0" fillId="0" borderId="65" xfId="0" applyNumberFormat="1" applyBorder="1" applyAlignment="1">
      <alignment horizontal="center"/>
    </xf>
    <xf numFmtId="0" fontId="44" fillId="9" borderId="60" xfId="0" applyFont="1" applyFill="1" applyBorder="1" applyAlignment="1">
      <alignment horizontal="center" vertical="center"/>
    </xf>
    <xf numFmtId="0" fontId="44" fillId="9" borderId="61" xfId="0" applyFont="1" applyFill="1" applyBorder="1" applyAlignment="1">
      <alignment vertical="center"/>
    </xf>
    <xf numFmtId="43" fontId="44" fillId="9" borderId="61" xfId="0" applyNumberFormat="1" applyFont="1" applyFill="1" applyBorder="1" applyAlignment="1">
      <alignment horizontal="right" vertical="center"/>
    </xf>
    <xf numFmtId="43" fontId="44" fillId="9" borderId="62" xfId="0" applyNumberFormat="1" applyFont="1" applyFill="1" applyBorder="1" applyAlignment="1">
      <alignment horizontal="right" vertical="center"/>
    </xf>
    <xf numFmtId="0" fontId="0" fillId="0" borderId="51" xfId="0" applyBorder="1" applyAlignment="1">
      <alignment vertical="center"/>
    </xf>
    <xf numFmtId="4" fontId="44" fillId="0" borderId="0" xfId="0" applyNumberFormat="1" applyFont="1" applyBorder="1" applyAlignment="1">
      <alignment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43" fontId="0" fillId="0" borderId="61" xfId="0" applyNumberFormat="1" applyFont="1" applyBorder="1" applyAlignment="1">
      <alignment vertical="center"/>
    </xf>
    <xf numFmtId="43" fontId="0" fillId="0" borderId="62" xfId="0" applyNumberFormat="1" applyFont="1" applyBorder="1" applyAlignment="1">
      <alignment vertical="center"/>
    </xf>
    <xf numFmtId="4" fontId="0" fillId="0" borderId="5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0" fillId="9" borderId="64" xfId="0" applyFont="1" applyFill="1" applyBorder="1" applyAlignment="1">
      <alignment horizontal="center"/>
    </xf>
    <xf numFmtId="0" fontId="40" fillId="9" borderId="65" xfId="0" applyFont="1" applyFill="1" applyBorder="1" applyAlignment="1">
      <alignment horizontal="center"/>
    </xf>
    <xf numFmtId="0" fontId="40" fillId="9" borderId="69" xfId="0" applyFont="1" applyFill="1" applyBorder="1" applyAlignment="1">
      <alignment horizontal="center"/>
    </xf>
    <xf numFmtId="0" fontId="40" fillId="9" borderId="66" xfId="0" applyFont="1" applyFill="1" applyBorder="1" applyAlignment="1">
      <alignment horizontal="center"/>
    </xf>
    <xf numFmtId="10" fontId="0" fillId="0" borderId="69" xfId="0" applyNumberFormat="1" applyBorder="1" applyAlignment="1">
      <alignment horizontal="center"/>
    </xf>
    <xf numFmtId="0" fontId="0" fillId="0" borderId="60" xfId="0" applyFont="1" applyBorder="1" applyAlignment="1">
      <alignment horizontal="right" vertical="center"/>
    </xf>
    <xf numFmtId="43" fontId="44" fillId="9" borderId="61" xfId="0" applyNumberFormat="1" applyFont="1" applyFill="1" applyBorder="1" applyAlignment="1">
      <alignment vertical="center"/>
    </xf>
    <xf numFmtId="43" fontId="44" fillId="9" borderId="62" xfId="0" applyNumberFormat="1" applyFont="1" applyFill="1" applyBorder="1" applyAlignment="1">
      <alignment vertical="center"/>
    </xf>
    <xf numFmtId="10" fontId="0" fillId="0" borderId="52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Font="1" applyBorder="1" applyAlignment="1">
      <alignment horizontal="left" vertical="center"/>
    </xf>
    <xf numFmtId="0" fontId="0" fillId="13" borderId="72" xfId="0" applyFill="1" applyBorder="1"/>
    <xf numFmtId="0" fontId="0" fillId="13" borderId="71" xfId="0" applyFill="1" applyBorder="1"/>
    <xf numFmtId="43" fontId="0" fillId="0" borderId="61" xfId="0" applyNumberFormat="1" applyBorder="1" applyAlignment="1">
      <alignment horizontal="right" vertical="center"/>
    </xf>
    <xf numFmtId="4" fontId="0" fillId="0" borderId="0" xfId="0" applyNumberFormat="1" applyFont="1" applyBorder="1" applyAlignment="1">
      <alignment vertical="center"/>
    </xf>
    <xf numFmtId="43" fontId="0" fillId="9" borderId="61" xfId="0" applyNumberFormat="1" applyFont="1" applyFill="1" applyBorder="1" applyAlignment="1">
      <alignment vertical="center"/>
    </xf>
    <xf numFmtId="0" fontId="0" fillId="0" borderId="61" xfId="0" applyFont="1" applyBorder="1" applyAlignment="1">
      <alignment vertical="center"/>
    </xf>
    <xf numFmtId="43" fontId="44" fillId="9" borderId="0" xfId="0" applyNumberFormat="1" applyFont="1" applyFill="1" applyBorder="1" applyAlignment="1">
      <alignment vertical="center"/>
    </xf>
    <xf numFmtId="2" fontId="0" fillId="0" borderId="61" xfId="0" applyNumberFormat="1" applyFont="1" applyBorder="1" applyAlignment="1">
      <alignment vertical="center"/>
    </xf>
    <xf numFmtId="2" fontId="0" fillId="0" borderId="62" xfId="0" applyNumberFormat="1" applyFont="1" applyBorder="1" applyAlignment="1">
      <alignment vertical="center"/>
    </xf>
    <xf numFmtId="0" fontId="0" fillId="13" borderId="74" xfId="0" applyFont="1" applyFill="1" applyBorder="1" applyAlignment="1">
      <alignment horizontal="right" vertical="center"/>
    </xf>
    <xf numFmtId="0" fontId="44" fillId="13" borderId="75" xfId="0" applyFont="1" applyFill="1" applyBorder="1" applyAlignment="1">
      <alignment vertical="center"/>
    </xf>
    <xf numFmtId="2" fontId="44" fillId="13" borderId="75" xfId="0" applyNumberFormat="1" applyFont="1" applyFill="1" applyBorder="1" applyAlignment="1">
      <alignment vertical="center"/>
    </xf>
    <xf numFmtId="2" fontId="44" fillId="13" borderId="76" xfId="0" applyNumberFormat="1" applyFont="1" applyFill="1" applyBorder="1" applyAlignment="1">
      <alignment vertical="center"/>
    </xf>
    <xf numFmtId="4" fontId="0" fillId="0" borderId="51" xfId="0" applyNumberFormat="1" applyBorder="1" applyAlignment="1">
      <alignment vertical="center"/>
    </xf>
    <xf numFmtId="0" fontId="47" fillId="0" borderId="0" xfId="0" applyFont="1" applyBorder="1" applyAlignment="1">
      <alignment vertical="center"/>
    </xf>
    <xf numFmtId="43" fontId="47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1" fillId="10" borderId="67" xfId="0" applyFont="1" applyFill="1" applyBorder="1"/>
    <xf numFmtId="0" fontId="41" fillId="10" borderId="52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 applyProtection="1">
      <alignment horizontal="right" vertical="center"/>
    </xf>
    <xf numFmtId="167" fontId="2" fillId="0" borderId="8" xfId="0" applyNumberFormat="1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vertical="center"/>
    </xf>
    <xf numFmtId="165" fontId="2" fillId="0" borderId="13" xfId="2" applyNumberFormat="1" applyFont="1" applyFill="1" applyBorder="1" applyAlignment="1" applyProtection="1">
      <alignment horizontal="right" vertical="center"/>
    </xf>
    <xf numFmtId="166" fontId="2" fillId="0" borderId="13" xfId="1" applyFont="1" applyFill="1" applyBorder="1" applyAlignment="1" applyProtection="1">
      <alignment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vertical="center" wrapText="1"/>
    </xf>
    <xf numFmtId="167" fontId="2" fillId="0" borderId="13" xfId="0" applyNumberFormat="1" applyFont="1" applyFill="1" applyBorder="1" applyAlignment="1">
      <alignment horizontal="distributed" vertical="center"/>
    </xf>
    <xf numFmtId="0" fontId="0" fillId="0" borderId="0" xfId="0" applyAlignment="1" applyProtection="1">
      <alignment vertical="center"/>
    </xf>
    <xf numFmtId="9" fontId="0" fillId="0" borderId="0" xfId="3" applyFont="1" applyFill="1" applyBorder="1" applyAlignment="1" applyProtection="1">
      <alignment vertical="center"/>
    </xf>
    <xf numFmtId="170" fontId="0" fillId="0" borderId="0" xfId="1" applyNumberFormat="1" applyFont="1" applyFill="1" applyBorder="1" applyAlignment="1" applyProtection="1">
      <alignment vertical="center"/>
    </xf>
    <xf numFmtId="0" fontId="51" fillId="0" borderId="79" xfId="0" applyFont="1" applyFill="1" applyBorder="1" applyAlignment="1">
      <alignment horizontal="left" vertical="center" wrapText="1"/>
    </xf>
    <xf numFmtId="0" fontId="0" fillId="14" borderId="79" xfId="0" applyFont="1" applyFill="1" applyBorder="1" applyAlignment="1" applyProtection="1">
      <alignment vertical="center"/>
    </xf>
    <xf numFmtId="0" fontId="0" fillId="14" borderId="79" xfId="0" applyFill="1" applyBorder="1" applyAlignment="1" applyProtection="1">
      <alignment vertical="center"/>
    </xf>
    <xf numFmtId="171" fontId="0" fillId="0" borderId="79" xfId="1" applyNumberFormat="1" applyFont="1" applyFill="1" applyBorder="1" applyAlignment="1" applyProtection="1">
      <alignment vertical="center"/>
    </xf>
    <xf numFmtId="9" fontId="0" fillId="0" borderId="79" xfId="3" applyFont="1" applyFill="1" applyBorder="1" applyAlignment="1" applyProtection="1">
      <alignment vertical="center"/>
    </xf>
    <xf numFmtId="170" fontId="0" fillId="0" borderId="79" xfId="1" applyNumberFormat="1" applyFont="1" applyFill="1" applyBorder="1" applyAlignment="1" applyProtection="1">
      <alignment vertical="center"/>
    </xf>
    <xf numFmtId="171" fontId="0" fillId="14" borderId="79" xfId="0" applyNumberFormat="1" applyFill="1" applyBorder="1" applyAlignment="1" applyProtection="1">
      <alignment vertical="center"/>
    </xf>
    <xf numFmtId="9" fontId="0" fillId="14" borderId="79" xfId="3" applyFont="1" applyFill="1" applyBorder="1" applyAlignment="1" applyProtection="1">
      <alignment vertical="center"/>
    </xf>
    <xf numFmtId="170" fontId="0" fillId="14" borderId="79" xfId="1" applyNumberFormat="1" applyFont="1" applyFill="1" applyBorder="1" applyAlignment="1" applyProtection="1">
      <alignment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vertical="center" wrapText="1"/>
    </xf>
    <xf numFmtId="2" fontId="2" fillId="0" borderId="81" xfId="0" applyNumberFormat="1" applyFont="1" applyFill="1" applyBorder="1" applyAlignment="1">
      <alignment vertical="center" wrapText="1"/>
    </xf>
    <xf numFmtId="165" fontId="2" fillId="0" borderId="81" xfId="2" applyNumberFormat="1" applyFont="1" applyFill="1" applyBorder="1" applyAlignment="1" applyProtection="1">
      <alignment horizontal="right" vertical="center"/>
    </xf>
    <xf numFmtId="167" fontId="2" fillId="0" borderId="81" xfId="0" applyNumberFormat="1" applyFont="1" applyBorder="1" applyAlignment="1">
      <alignment horizontal="distributed" vertical="center"/>
    </xf>
    <xf numFmtId="0" fontId="3" fillId="0" borderId="79" xfId="0" applyFont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vertical="center" wrapText="1"/>
    </xf>
    <xf numFmtId="2" fontId="2" fillId="3" borderId="79" xfId="0" applyNumberFormat="1" applyFont="1" applyFill="1" applyBorder="1" applyAlignment="1">
      <alignment vertical="center"/>
    </xf>
    <xf numFmtId="165" fontId="2" fillId="3" borderId="79" xfId="2" applyNumberFormat="1" applyFont="1" applyFill="1" applyBorder="1" applyAlignment="1" applyProtection="1">
      <alignment horizontal="right" vertical="center"/>
    </xf>
    <xf numFmtId="167" fontId="2" fillId="0" borderId="79" xfId="0" applyNumberFormat="1" applyFont="1" applyBorder="1" applyAlignment="1">
      <alignment horizontal="distributed" vertical="center"/>
    </xf>
    <xf numFmtId="167" fontId="3" fillId="5" borderId="79" xfId="0" applyNumberFormat="1" applyFont="1" applyFill="1" applyBorder="1" applyAlignment="1">
      <alignment horizontal="distributed" vertical="center"/>
    </xf>
    <xf numFmtId="0" fontId="2" fillId="0" borderId="79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53" fillId="3" borderId="12" xfId="0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0" fillId="14" borderId="79" xfId="0" applyFill="1" applyBorder="1" applyAlignment="1" applyProtection="1">
      <alignment horizontal="center" vertical="center"/>
    </xf>
    <xf numFmtId="165" fontId="2" fillId="0" borderId="0" xfId="2" applyNumberFormat="1" applyFont="1" applyBorder="1" applyAlignment="1" applyProtection="1">
      <alignment vertical="center"/>
    </xf>
    <xf numFmtId="165" fontId="2" fillId="0" borderId="0" xfId="2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7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3" fillId="7" borderId="30" xfId="5" applyFont="1" applyFill="1" applyBorder="1" applyAlignment="1">
      <alignment horizontal="center" vertical="justify"/>
    </xf>
    <xf numFmtId="0" fontId="43" fillId="7" borderId="31" xfId="5" applyFont="1" applyFill="1" applyBorder="1" applyAlignment="1">
      <alignment horizontal="center" vertical="justify"/>
    </xf>
    <xf numFmtId="0" fontId="43" fillId="7" borderId="32" xfId="5" applyFont="1" applyFill="1" applyBorder="1" applyAlignment="1">
      <alignment horizontal="center" vertical="justify"/>
    </xf>
    <xf numFmtId="0" fontId="44" fillId="8" borderId="34" xfId="5" applyFont="1" applyFill="1" applyBorder="1" applyAlignment="1">
      <alignment horizontal="center"/>
    </xf>
    <xf numFmtId="0" fontId="44" fillId="8" borderId="35" xfId="5" applyFont="1" applyFill="1" applyBorder="1" applyAlignment="1">
      <alignment horizontal="center"/>
    </xf>
    <xf numFmtId="0" fontId="30" fillId="0" borderId="25" xfId="4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46" fillId="9" borderId="1" xfId="5" applyFont="1" applyFill="1" applyBorder="1" applyAlignment="1">
      <alignment horizontal="center" vertical="center" wrapText="1"/>
    </xf>
    <xf numFmtId="0" fontId="46" fillId="9" borderId="2" xfId="5" applyFont="1" applyFill="1" applyBorder="1" applyAlignment="1">
      <alignment horizontal="center" vertical="center" wrapText="1"/>
    </xf>
    <xf numFmtId="0" fontId="46" fillId="9" borderId="21" xfId="5" applyFont="1" applyFill="1" applyBorder="1" applyAlignment="1">
      <alignment horizontal="center" vertical="center" wrapText="1"/>
    </xf>
    <xf numFmtId="0" fontId="46" fillId="9" borderId="3" xfId="5" applyFont="1" applyFill="1" applyBorder="1" applyAlignment="1">
      <alignment horizontal="center" vertical="center" wrapText="1"/>
    </xf>
    <xf numFmtId="0" fontId="46" fillId="9" borderId="0" xfId="5" applyFont="1" applyFill="1" applyBorder="1" applyAlignment="1">
      <alignment horizontal="center" vertical="center" wrapText="1"/>
    </xf>
    <xf numFmtId="0" fontId="46" fillId="9" borderId="28" xfId="5" applyFont="1" applyFill="1" applyBorder="1" applyAlignment="1">
      <alignment horizontal="center" vertical="center" wrapText="1"/>
    </xf>
    <xf numFmtId="0" fontId="46" fillId="9" borderId="4" xfId="5" applyFont="1" applyFill="1" applyBorder="1" applyAlignment="1">
      <alignment horizontal="center" vertical="center" wrapText="1"/>
    </xf>
    <xf numFmtId="0" fontId="46" fillId="9" borderId="5" xfId="5" applyFont="1" applyFill="1" applyBorder="1" applyAlignment="1">
      <alignment horizontal="center" vertical="center" wrapText="1"/>
    </xf>
    <xf numFmtId="0" fontId="46" fillId="9" borderId="37" xfId="5" applyFont="1" applyFill="1" applyBorder="1" applyAlignment="1">
      <alignment horizontal="center" vertical="center" wrapText="1"/>
    </xf>
    <xf numFmtId="0" fontId="40" fillId="9" borderId="47" xfId="0" applyFont="1" applyFill="1" applyBorder="1" applyAlignment="1">
      <alignment horizontal="center" vertical="center"/>
    </xf>
    <xf numFmtId="0" fontId="40" fillId="9" borderId="22" xfId="0" applyFont="1" applyFill="1" applyBorder="1" applyAlignment="1">
      <alignment horizontal="center" vertical="center"/>
    </xf>
    <xf numFmtId="0" fontId="40" fillId="9" borderId="6" xfId="0" applyFont="1" applyFill="1" applyBorder="1" applyAlignment="1">
      <alignment horizontal="center"/>
    </xf>
    <xf numFmtId="0" fontId="40" fillId="9" borderId="25" xfId="0" applyFont="1" applyFill="1" applyBorder="1" applyAlignment="1">
      <alignment horizontal="center"/>
    </xf>
    <xf numFmtId="0" fontId="40" fillId="9" borderId="26" xfId="0" applyFont="1" applyFill="1" applyBorder="1" applyAlignment="1">
      <alignment horizontal="center"/>
    </xf>
    <xf numFmtId="0" fontId="40" fillId="9" borderId="68" xfId="0" applyFont="1" applyFill="1" applyBorder="1" applyAlignment="1">
      <alignment horizontal="center"/>
    </xf>
    <xf numFmtId="0" fontId="40" fillId="9" borderId="69" xfId="0" applyFont="1" applyFill="1" applyBorder="1" applyAlignment="1">
      <alignment horizontal="center"/>
    </xf>
    <xf numFmtId="0" fontId="40" fillId="9" borderId="66" xfId="0" applyFont="1" applyFill="1" applyBorder="1" applyAlignment="1">
      <alignment horizontal="center"/>
    </xf>
    <xf numFmtId="0" fontId="0" fillId="0" borderId="68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11" borderId="68" xfId="0" applyFill="1" applyBorder="1" applyAlignment="1">
      <alignment horizontal="left" vertical="top" wrapText="1"/>
    </xf>
    <xf numFmtId="0" fontId="0" fillId="11" borderId="66" xfId="0" applyFill="1" applyBorder="1" applyAlignment="1">
      <alignment horizontal="left" vertical="top" wrapText="1"/>
    </xf>
    <xf numFmtId="0" fontId="44" fillId="12" borderId="48" xfId="0" applyFont="1" applyFill="1" applyBorder="1" applyAlignment="1">
      <alignment horizontal="center" vertical="center"/>
    </xf>
    <xf numFmtId="0" fontId="44" fillId="12" borderId="57" xfId="0" applyFont="1" applyFill="1" applyBorder="1" applyAlignment="1">
      <alignment horizontal="center" vertical="center"/>
    </xf>
    <xf numFmtId="0" fontId="44" fillId="12" borderId="49" xfId="0" applyFont="1" applyFill="1" applyBorder="1" applyAlignment="1">
      <alignment horizontal="center" vertical="center"/>
    </xf>
    <xf numFmtId="0" fontId="44" fillId="12" borderId="58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0" fillId="9" borderId="67" xfId="0" applyFont="1" applyFill="1" applyBorder="1" applyAlignment="1">
      <alignment horizontal="center" vertical="center"/>
    </xf>
    <xf numFmtId="0" fontId="40" fillId="9" borderId="53" xfId="0" applyFont="1" applyFill="1" applyBorder="1" applyAlignment="1">
      <alignment horizontal="center" vertical="center"/>
    </xf>
    <xf numFmtId="0" fontId="40" fillId="9" borderId="70" xfId="0" applyFont="1" applyFill="1" applyBorder="1" applyAlignment="1">
      <alignment horizontal="center" vertical="center"/>
    </xf>
    <xf numFmtId="0" fontId="40" fillId="9" borderId="71" xfId="0" applyFont="1" applyFill="1" applyBorder="1" applyAlignment="1">
      <alignment horizontal="center" vertical="center"/>
    </xf>
    <xf numFmtId="0" fontId="0" fillId="0" borderId="67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47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9" fontId="0" fillId="14" borderId="79" xfId="3" applyFont="1" applyFill="1" applyBorder="1" applyAlignment="1" applyProtection="1">
      <alignment horizontal="center" vertical="center"/>
    </xf>
    <xf numFmtId="2" fontId="2" fillId="15" borderId="13" xfId="0" applyNumberFormat="1" applyFont="1" applyFill="1" applyBorder="1" applyAlignment="1">
      <alignment vertical="center" wrapText="1"/>
    </xf>
  </cellXfs>
  <cellStyles count="7">
    <cellStyle name="Moeda" xfId="2" builtinId="4"/>
    <cellStyle name="Normal" xfId="0" builtinId="0"/>
    <cellStyle name="Normal 2 3" xfId="5"/>
    <cellStyle name="Porcentagem" xfId="3" builtinId="5"/>
    <cellStyle name="Porcentagem 2 4" xfId="6"/>
    <cellStyle name="Separador de milhares" xfId="1" builtinId="3"/>
    <cellStyle name="Texto Explicativo" xfId="4" builtinId="53" customBuiltin="1"/>
  </cellStyles>
  <dxfs count="76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B0F0"/>
      <rgbColor rgb="FFD9D9D9"/>
      <rgbColor rgb="FFEBF1DE"/>
      <rgbColor rgb="FFC3D69B"/>
      <rgbColor rgb="FFBFBFBF"/>
      <rgbColor rgb="FFCCC1DA"/>
      <rgbColor rgb="FFB3A2C7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3162300" cy="585095"/>
    <xdr:pic>
      <xdr:nvPicPr>
        <xdr:cNvPr id="2" name="Imagem 1">
          <a:extLst>
            <a:ext uri="{FF2B5EF4-FFF2-40B4-BE49-F238E27FC236}">
              <a16:creationId xmlns="" xmlns:a16="http://schemas.microsoft.com/office/drawing/2014/main" id="{1A35CC57-55BA-474A-BEBF-BDE0E79AE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058150"/>
          <a:ext cx="3162300" cy="585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enharia\SAPUCAIA%20DO%20SUL\HMGV\CONTRATA&#199;&#195;O%20PROJETOS%20EXECUTIVOS%202022\Projeto%20Avan&#231;ar\CO\Users\pedro.muller\AppData\Local\Microsoft\Windows\Temporary%20Internet%20Files\Content.Outlook\799309BL\Or&#231;amento-CO%20%20%20Aditivo%20el&#233;trica%20(R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.O"/>
      <sheetName val="CRONO"/>
      <sheetName val="Piso+Rodapé+Revest.+Forros"/>
      <sheetName val="Gesso Acart"/>
      <sheetName val="Alvenarias"/>
      <sheetName val="Demolições"/>
      <sheetName val="Esquadrias"/>
      <sheetName val="Imperm.Batemacas e rodaforro"/>
      <sheetName val="Composições 1 a 22"/>
      <sheetName val="COMP."/>
      <sheetName val="Plan1"/>
      <sheetName val="Março20"/>
      <sheetName val="cotações"/>
      <sheetName val="Plan2"/>
      <sheetName val="ADITIVO ELE"/>
      <sheetName val="COTAÇÕES ADITIVO"/>
      <sheetName val="Plan3"/>
      <sheetName val="REEQUILÍBRIO"/>
      <sheetName val="SALDO"/>
    </sheetNames>
    <sheetDataSet>
      <sheetData sheetId="0"/>
      <sheetData sheetId="1"/>
      <sheetData sheetId="2">
        <row r="66">
          <cell r="J66">
            <v>316.37810000000002</v>
          </cell>
        </row>
      </sheetData>
      <sheetData sheetId="3">
        <row r="22">
          <cell r="J22">
            <v>85.89</v>
          </cell>
        </row>
      </sheetData>
      <sheetData sheetId="4">
        <row r="15">
          <cell r="E15">
            <v>3.85</v>
          </cell>
        </row>
      </sheetData>
      <sheetData sheetId="5">
        <row r="35">
          <cell r="F35">
            <v>10.199999999999999</v>
          </cell>
        </row>
      </sheetData>
      <sheetData sheetId="6">
        <row r="30">
          <cell r="H30">
            <v>2.5</v>
          </cell>
        </row>
      </sheetData>
      <sheetData sheetId="7">
        <row r="30">
          <cell r="H30">
            <v>119.64314</v>
          </cell>
        </row>
      </sheetData>
      <sheetData sheetId="8">
        <row r="5">
          <cell r="G5">
            <v>109.963221</v>
          </cell>
        </row>
      </sheetData>
      <sheetData sheetId="9">
        <row r="248">
          <cell r="G248">
            <v>99.415499999999994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94"/>
  <sheetViews>
    <sheetView tabSelected="1" zoomScale="70" zoomScaleNormal="70" workbookViewId="0">
      <pane ySplit="12" topLeftCell="A169" activePane="bottomLeft" state="frozen"/>
      <selection pane="bottomLeft" activeCell="J182" sqref="J182"/>
    </sheetView>
  </sheetViews>
  <sheetFormatPr defaultRowHeight="18.75"/>
  <cols>
    <col min="1" max="1" width="8" style="1" customWidth="1"/>
    <col min="2" max="2" width="21.140625" style="1" customWidth="1"/>
    <col min="3" max="3" width="129.140625" style="2" customWidth="1"/>
    <col min="4" max="4" width="22" style="3" customWidth="1"/>
    <col min="5" max="5" width="8.5703125" style="4" customWidth="1"/>
    <col min="6" max="6" width="18.28515625" style="5" customWidth="1"/>
    <col min="7" max="7" width="16.5703125" style="6" customWidth="1"/>
    <col min="8" max="8" width="22.42578125" style="6" customWidth="1"/>
    <col min="9" max="1025" width="9.140625" style="2" customWidth="1"/>
  </cols>
  <sheetData>
    <row r="1" spans="1:8">
      <c r="A1" s="7"/>
      <c r="B1" s="8"/>
      <c r="C1" s="8"/>
      <c r="D1" s="9"/>
      <c r="E1" s="10"/>
      <c r="F1" s="11"/>
      <c r="G1" s="10"/>
      <c r="H1" s="12"/>
    </row>
    <row r="2" spans="1:8">
      <c r="A2" s="13"/>
      <c r="B2" s="383"/>
      <c r="C2" s="383"/>
      <c r="D2" s="14"/>
      <c r="E2" s="15"/>
      <c r="G2" s="15"/>
      <c r="H2" s="16"/>
    </row>
    <row r="3" spans="1:8" ht="36">
      <c r="A3" s="13"/>
      <c r="B3" s="384" t="s">
        <v>194</v>
      </c>
      <c r="C3" s="384"/>
      <c r="D3" s="384"/>
      <c r="E3" s="384"/>
      <c r="F3" s="384"/>
      <c r="G3" s="384"/>
      <c r="H3" s="384"/>
    </row>
    <row r="4" spans="1:8" ht="31.5">
      <c r="A4" s="13"/>
      <c r="B4" s="385" t="s">
        <v>0</v>
      </c>
      <c r="C4" s="385"/>
      <c r="D4" s="385"/>
      <c r="E4" s="385"/>
      <c r="F4" s="385"/>
      <c r="G4" s="385"/>
      <c r="H4" s="385"/>
    </row>
    <row r="5" spans="1:8">
      <c r="A5" s="13"/>
      <c r="B5" s="383"/>
      <c r="C5" s="383"/>
      <c r="D5" s="14"/>
      <c r="E5" s="15"/>
      <c r="G5" s="15"/>
      <c r="H5" s="16"/>
    </row>
    <row r="6" spans="1:8">
      <c r="A6" s="13"/>
      <c r="B6" s="386" t="s">
        <v>1</v>
      </c>
      <c r="C6" s="386"/>
      <c r="D6" s="386"/>
      <c r="E6" s="386"/>
      <c r="F6" s="386"/>
      <c r="G6" s="386"/>
      <c r="H6" s="17"/>
    </row>
    <row r="7" spans="1:8">
      <c r="A7" s="13"/>
      <c r="B7" s="387" t="s">
        <v>2</v>
      </c>
      <c r="C7" s="387"/>
      <c r="D7" s="18"/>
      <c r="E7" s="15"/>
      <c r="G7" s="17"/>
      <c r="H7" s="17"/>
    </row>
    <row r="8" spans="1:8">
      <c r="A8" s="13"/>
      <c r="B8" s="388" t="s">
        <v>3</v>
      </c>
      <c r="C8" s="388"/>
      <c r="D8" s="18"/>
      <c r="E8" s="15"/>
      <c r="G8" s="17"/>
      <c r="H8" s="17"/>
    </row>
    <row r="9" spans="1:8">
      <c r="A9" s="13"/>
      <c r="B9" s="389" t="s">
        <v>605</v>
      </c>
      <c r="C9" s="389"/>
      <c r="D9" s="19"/>
      <c r="E9" s="19"/>
      <c r="G9" s="19"/>
      <c r="H9" s="19"/>
    </row>
    <row r="10" spans="1:8">
      <c r="A10" s="20"/>
      <c r="B10" s="390" t="s">
        <v>606</v>
      </c>
      <c r="C10" s="390"/>
      <c r="D10" s="21"/>
      <c r="E10" s="21"/>
      <c r="F10" s="22"/>
      <c r="G10" s="21"/>
      <c r="H10" s="21"/>
    </row>
    <row r="11" spans="1:8" s="6" customFormat="1">
      <c r="A11" s="391" t="s">
        <v>0</v>
      </c>
      <c r="B11" s="391"/>
      <c r="C11" s="391"/>
      <c r="D11" s="391"/>
      <c r="E11" s="391"/>
      <c r="F11" s="391"/>
      <c r="G11" s="391"/>
      <c r="H11" s="391"/>
    </row>
    <row r="12" spans="1:8" s="27" customFormat="1" ht="56.25">
      <c r="A12" s="23" t="s">
        <v>4</v>
      </c>
      <c r="B12" s="23" t="s">
        <v>5</v>
      </c>
      <c r="C12" s="23" t="s">
        <v>6</v>
      </c>
      <c r="D12" s="24" t="s">
        <v>7</v>
      </c>
      <c r="E12" s="23" t="s">
        <v>8</v>
      </c>
      <c r="F12" s="25" t="s">
        <v>9</v>
      </c>
      <c r="G12" s="26" t="s">
        <v>10</v>
      </c>
      <c r="H12" s="26" t="s">
        <v>11</v>
      </c>
    </row>
    <row r="13" spans="1:8" s="27" customFormat="1">
      <c r="A13" s="28">
        <v>1</v>
      </c>
      <c r="B13" s="23"/>
      <c r="C13" s="29" t="s">
        <v>12</v>
      </c>
      <c r="D13" s="30"/>
      <c r="E13" s="30"/>
      <c r="F13" s="30"/>
      <c r="G13" s="30"/>
      <c r="H13" s="30"/>
    </row>
    <row r="14" spans="1:8" s="32" customFormat="1" ht="37.5">
      <c r="A14" s="61" t="s">
        <v>13</v>
      </c>
      <c r="B14" s="62">
        <v>10776</v>
      </c>
      <c r="C14" s="90" t="s">
        <v>195</v>
      </c>
      <c r="D14" s="91">
        <v>3</v>
      </c>
      <c r="E14" s="92" t="s">
        <v>14</v>
      </c>
      <c r="F14" s="93">
        <v>625</v>
      </c>
      <c r="G14" s="94">
        <f>F14*1.2771</f>
        <v>798.18749999999989</v>
      </c>
      <c r="H14" s="94">
        <f>D14*G14</f>
        <v>2394.5624999999995</v>
      </c>
    </row>
    <row r="15" spans="1:8" s="32" customFormat="1" ht="37.5">
      <c r="A15" s="61" t="s">
        <v>15</v>
      </c>
      <c r="B15" s="62">
        <v>4813</v>
      </c>
      <c r="C15" s="77" t="s">
        <v>196</v>
      </c>
      <c r="D15" s="74">
        <v>2.5</v>
      </c>
      <c r="E15" s="62" t="s">
        <v>16</v>
      </c>
      <c r="F15" s="78">
        <v>225</v>
      </c>
      <c r="G15" s="94">
        <f>F15*1.2771</f>
        <v>287.34749999999997</v>
      </c>
      <c r="H15" s="94">
        <f>D15*G15</f>
        <v>718.36874999999986</v>
      </c>
    </row>
    <row r="16" spans="1:8" s="27" customFormat="1">
      <c r="A16" s="399" t="s">
        <v>19</v>
      </c>
      <c r="B16" s="400"/>
      <c r="C16" s="400"/>
      <c r="D16" s="400"/>
      <c r="E16" s="400"/>
      <c r="F16" s="400"/>
      <c r="G16" s="401"/>
      <c r="H16" s="44">
        <f>SUM(H14:H15)</f>
        <v>3112.9312499999996</v>
      </c>
    </row>
    <row r="17" spans="1:8" s="27" customFormat="1">
      <c r="A17" s="327">
        <v>2</v>
      </c>
      <c r="B17" s="328"/>
      <c r="C17" s="329" t="s">
        <v>20</v>
      </c>
      <c r="D17" s="330"/>
      <c r="E17" s="330"/>
      <c r="F17" s="330"/>
      <c r="G17" s="330"/>
      <c r="H17" s="330"/>
    </row>
    <row r="18" spans="1:8" s="32" customFormat="1">
      <c r="A18" s="331" t="s">
        <v>21</v>
      </c>
      <c r="B18" s="332">
        <v>97624</v>
      </c>
      <c r="C18" s="333" t="s">
        <v>22</v>
      </c>
      <c r="D18" s="334">
        <v>2</v>
      </c>
      <c r="E18" s="335" t="s">
        <v>23</v>
      </c>
      <c r="F18" s="336">
        <v>91.98</v>
      </c>
      <c r="G18" s="337">
        <f t="shared" ref="G18:G21" si="0">F18*1.2771</f>
        <v>117.467658</v>
      </c>
      <c r="H18" s="337">
        <f>D18*G18</f>
        <v>234.935316</v>
      </c>
    </row>
    <row r="19" spans="1:8" s="32" customFormat="1">
      <c r="A19" s="331" t="s">
        <v>24</v>
      </c>
      <c r="B19" s="332">
        <v>97644</v>
      </c>
      <c r="C19" s="338" t="s">
        <v>25</v>
      </c>
      <c r="D19" s="339">
        <v>10</v>
      </c>
      <c r="E19" s="332" t="s">
        <v>16</v>
      </c>
      <c r="F19" s="340">
        <v>7.85</v>
      </c>
      <c r="G19" s="337">
        <f t="shared" si="0"/>
        <v>10.025234999999999</v>
      </c>
      <c r="H19" s="337">
        <f>D19*G19</f>
        <v>100.25234999999998</v>
      </c>
    </row>
    <row r="20" spans="1:8" s="32" customFormat="1">
      <c r="A20" s="331" t="s">
        <v>26</v>
      </c>
      <c r="B20" s="332" t="s">
        <v>197</v>
      </c>
      <c r="C20" s="338" t="s">
        <v>198</v>
      </c>
      <c r="D20" s="341">
        <f>D18*1500*0.15</f>
        <v>450</v>
      </c>
      <c r="E20" s="332" t="s">
        <v>199</v>
      </c>
      <c r="F20" s="340">
        <v>0.69</v>
      </c>
      <c r="G20" s="337">
        <f t="shared" si="0"/>
        <v>0.88119899999999984</v>
      </c>
      <c r="H20" s="337">
        <f>D20*G20</f>
        <v>396.53954999999991</v>
      </c>
    </row>
    <row r="21" spans="1:8" s="32" customFormat="1">
      <c r="A21" s="331" t="s">
        <v>27</v>
      </c>
      <c r="B21" s="332" t="s">
        <v>200</v>
      </c>
      <c r="C21" s="338" t="s">
        <v>201</v>
      </c>
      <c r="D21" s="341">
        <f>D20/1.5/0.15</f>
        <v>2000</v>
      </c>
      <c r="E21" s="332" t="s">
        <v>202</v>
      </c>
      <c r="F21" s="340">
        <v>0.01</v>
      </c>
      <c r="G21" s="337">
        <f t="shared" si="0"/>
        <v>1.2770999999999999E-2</v>
      </c>
      <c r="H21" s="337">
        <f>D21*G21</f>
        <v>25.541999999999998</v>
      </c>
    </row>
    <row r="22" spans="1:8" s="27" customFormat="1">
      <c r="A22" s="399" t="s">
        <v>19</v>
      </c>
      <c r="B22" s="400"/>
      <c r="C22" s="400"/>
      <c r="D22" s="400"/>
      <c r="E22" s="400"/>
      <c r="F22" s="400"/>
      <c r="G22" s="401"/>
      <c r="H22" s="44">
        <f>SUM(H18:H21)</f>
        <v>757.26921599999991</v>
      </c>
    </row>
    <row r="23" spans="1:8" s="53" customFormat="1">
      <c r="A23" s="342">
        <v>3</v>
      </c>
      <c r="B23" s="343"/>
      <c r="C23" s="395" t="s">
        <v>41</v>
      </c>
      <c r="D23" s="395"/>
      <c r="E23" s="395"/>
      <c r="F23" s="395"/>
      <c r="G23" s="395"/>
      <c r="H23" s="395"/>
    </row>
    <row r="24" spans="1:8" s="31" customFormat="1" ht="56.25">
      <c r="A24" s="332" t="s">
        <v>33</v>
      </c>
      <c r="B24" s="332" t="s">
        <v>203</v>
      </c>
      <c r="C24" s="338" t="s">
        <v>204</v>
      </c>
      <c r="D24" s="348">
        <v>100</v>
      </c>
      <c r="E24" s="344" t="s">
        <v>16</v>
      </c>
      <c r="F24" s="340">
        <v>27.69</v>
      </c>
      <c r="G24" s="75">
        <f t="shared" ref="G24:G27" si="1">F24*1.2771</f>
        <v>35.362898999999999</v>
      </c>
      <c r="H24" s="75">
        <f>D24*G24</f>
        <v>3536.2898999999998</v>
      </c>
    </row>
    <row r="25" spans="1:8" s="31" customFormat="1">
      <c r="A25" s="33" t="s">
        <v>35</v>
      </c>
      <c r="B25" s="34" t="s">
        <v>43</v>
      </c>
      <c r="C25" s="35" t="s">
        <v>44</v>
      </c>
      <c r="D25" s="456">
        <v>316.37</v>
      </c>
      <c r="E25" s="55" t="s">
        <v>16</v>
      </c>
      <c r="F25" s="37">
        <v>162.06</v>
      </c>
      <c r="G25" s="94">
        <f t="shared" si="1"/>
        <v>206.966826</v>
      </c>
      <c r="H25" s="94">
        <f>D25*G25</f>
        <v>65478.09474162</v>
      </c>
    </row>
    <row r="26" spans="1:8" s="31" customFormat="1" ht="37.5">
      <c r="A26" s="332" t="s">
        <v>37</v>
      </c>
      <c r="B26" s="34">
        <v>87246</v>
      </c>
      <c r="C26" s="35" t="s">
        <v>45</v>
      </c>
      <c r="D26" s="54">
        <v>10</v>
      </c>
      <c r="E26" s="55" t="s">
        <v>16</v>
      </c>
      <c r="F26" s="37">
        <v>54.17</v>
      </c>
      <c r="G26" s="94">
        <f t="shared" si="1"/>
        <v>69.180506999999992</v>
      </c>
      <c r="H26" s="94">
        <f>D26*G26</f>
        <v>691.80506999999989</v>
      </c>
    </row>
    <row r="27" spans="1:8" s="31" customFormat="1" ht="37.5">
      <c r="A27" s="33" t="s">
        <v>39</v>
      </c>
      <c r="B27" s="34">
        <v>88648</v>
      </c>
      <c r="C27" s="35" t="s">
        <v>46</v>
      </c>
      <c r="D27" s="54">
        <v>62.71</v>
      </c>
      <c r="E27" s="55" t="s">
        <v>47</v>
      </c>
      <c r="F27" s="37">
        <v>6.32</v>
      </c>
      <c r="G27" s="94">
        <f t="shared" si="1"/>
        <v>8.0712720000000004</v>
      </c>
      <c r="H27" s="94">
        <f>D27*G27</f>
        <v>506.14946712000005</v>
      </c>
    </row>
    <row r="28" spans="1:8" s="27" customFormat="1">
      <c r="A28" s="399" t="s">
        <v>19</v>
      </c>
      <c r="B28" s="400"/>
      <c r="C28" s="400"/>
      <c r="D28" s="400"/>
      <c r="E28" s="400"/>
      <c r="F28" s="400"/>
      <c r="G28" s="401"/>
      <c r="H28" s="44">
        <f>SUM(H24:H27)</f>
        <v>70212.339178740003</v>
      </c>
    </row>
    <row r="29" spans="1:8" s="48" customFormat="1">
      <c r="A29" s="376">
        <v>4</v>
      </c>
      <c r="B29" s="47"/>
      <c r="C29" s="395" t="s">
        <v>607</v>
      </c>
      <c r="D29" s="395"/>
      <c r="E29" s="395"/>
      <c r="F29" s="395"/>
      <c r="G29" s="395"/>
      <c r="H29" s="395"/>
    </row>
    <row r="30" spans="1:8" s="31" customFormat="1" ht="37.5">
      <c r="A30" s="331" t="s">
        <v>42</v>
      </c>
      <c r="B30" s="332">
        <v>98555</v>
      </c>
      <c r="C30" s="345" t="s">
        <v>49</v>
      </c>
      <c r="D30" s="339">
        <v>10</v>
      </c>
      <c r="E30" s="332" t="s">
        <v>16</v>
      </c>
      <c r="F30" s="340">
        <v>23.23</v>
      </c>
      <c r="G30" s="349">
        <f>F30*1.2771</f>
        <v>29.667033</v>
      </c>
      <c r="H30" s="75">
        <f>D30*G30</f>
        <v>296.67032999999998</v>
      </c>
    </row>
    <row r="31" spans="1:8" s="27" customFormat="1">
      <c r="A31" s="399" t="s">
        <v>19</v>
      </c>
      <c r="B31" s="400"/>
      <c r="C31" s="400"/>
      <c r="D31" s="400"/>
      <c r="E31" s="400"/>
      <c r="F31" s="400"/>
      <c r="G31" s="401"/>
      <c r="H31" s="44">
        <f>SUM(H30)</f>
        <v>296.67032999999998</v>
      </c>
    </row>
    <row r="32" spans="1:8" s="48" customFormat="1">
      <c r="A32" s="368">
        <v>5</v>
      </c>
      <c r="B32" s="368"/>
      <c r="C32" s="396" t="s">
        <v>50</v>
      </c>
      <c r="D32" s="396"/>
      <c r="E32" s="396"/>
      <c r="F32" s="396"/>
      <c r="G32" s="396"/>
      <c r="H32" s="396"/>
    </row>
    <row r="33" spans="1:8" s="31" customFormat="1">
      <c r="A33" s="369" t="s">
        <v>48</v>
      </c>
      <c r="B33" s="369">
        <v>96114</v>
      </c>
      <c r="C33" s="370" t="s">
        <v>52</v>
      </c>
      <c r="D33" s="371">
        <v>374.66149999999999</v>
      </c>
      <c r="E33" s="369" t="s">
        <v>16</v>
      </c>
      <c r="F33" s="372">
        <v>87.51</v>
      </c>
      <c r="G33" s="373">
        <f t="shared" ref="G33:G34" si="2">F33*1.2771</f>
        <v>111.759021</v>
      </c>
      <c r="H33" s="373">
        <f>D33*G33</f>
        <v>41871.802446391499</v>
      </c>
    </row>
    <row r="34" spans="1:8" s="31" customFormat="1">
      <c r="A34" s="369" t="s">
        <v>613</v>
      </c>
      <c r="B34" s="369">
        <v>96120</v>
      </c>
      <c r="C34" s="370" t="s">
        <v>54</v>
      </c>
      <c r="D34" s="371">
        <v>239.11</v>
      </c>
      <c r="E34" s="369" t="s">
        <v>47</v>
      </c>
      <c r="F34" s="372">
        <v>2.87</v>
      </c>
      <c r="G34" s="373">
        <f t="shared" si="2"/>
        <v>3.6652769999999997</v>
      </c>
      <c r="H34" s="373">
        <f>D34*G34</f>
        <v>876.40438346999997</v>
      </c>
    </row>
    <row r="35" spans="1:8" s="27" customFormat="1">
      <c r="A35" s="402" t="s">
        <v>19</v>
      </c>
      <c r="B35" s="402"/>
      <c r="C35" s="402"/>
      <c r="D35" s="402"/>
      <c r="E35" s="402"/>
      <c r="F35" s="402"/>
      <c r="G35" s="402"/>
      <c r="H35" s="374">
        <f>SUM(H33:H34)</f>
        <v>42748.206829861498</v>
      </c>
    </row>
    <row r="36" spans="1:8" s="32" customFormat="1">
      <c r="A36" s="375">
        <v>6</v>
      </c>
      <c r="B36" s="375"/>
      <c r="C36" s="396" t="s">
        <v>55</v>
      </c>
      <c r="D36" s="396"/>
      <c r="E36" s="396"/>
      <c r="F36" s="396"/>
      <c r="G36" s="396"/>
      <c r="H36" s="396"/>
    </row>
    <row r="37" spans="1:8" s="31" customFormat="1" ht="56.25">
      <c r="A37" s="362" t="s">
        <v>51</v>
      </c>
      <c r="B37" s="363">
        <v>87264</v>
      </c>
      <c r="C37" s="364" t="s">
        <v>57</v>
      </c>
      <c r="D37" s="365">
        <v>20</v>
      </c>
      <c r="E37" s="363" t="s">
        <v>16</v>
      </c>
      <c r="F37" s="366">
        <v>58.7</v>
      </c>
      <c r="G37" s="367">
        <f t="shared" ref="G37:G39" si="3">F37*1.2771</f>
        <v>74.965769999999992</v>
      </c>
      <c r="H37" s="367">
        <f>D37*G37</f>
        <v>1499.3154</v>
      </c>
    </row>
    <row r="38" spans="1:8" s="32" customFormat="1" ht="37.5">
      <c r="A38" s="331" t="s">
        <v>53</v>
      </c>
      <c r="B38" s="332">
        <v>87878</v>
      </c>
      <c r="C38" s="338" t="s">
        <v>59</v>
      </c>
      <c r="D38" s="348">
        <v>5</v>
      </c>
      <c r="E38" s="332" t="s">
        <v>16</v>
      </c>
      <c r="F38" s="340">
        <v>4.1500000000000004</v>
      </c>
      <c r="G38" s="94">
        <f t="shared" si="3"/>
        <v>5.2999650000000003</v>
      </c>
      <c r="H38" s="94">
        <f>D38*G38</f>
        <v>26.499825000000001</v>
      </c>
    </row>
    <row r="39" spans="1:8" s="32" customFormat="1" ht="56.25">
      <c r="A39" s="362" t="s">
        <v>614</v>
      </c>
      <c r="B39" s="332">
        <v>87530</v>
      </c>
      <c r="C39" s="338" t="s">
        <v>61</v>
      </c>
      <c r="D39" s="348">
        <v>15</v>
      </c>
      <c r="E39" s="332" t="s">
        <v>16</v>
      </c>
      <c r="F39" s="340">
        <v>34.83</v>
      </c>
      <c r="G39" s="94">
        <f t="shared" si="3"/>
        <v>44.481392999999997</v>
      </c>
      <c r="H39" s="94">
        <f>D39*G39</f>
        <v>667.22089499999993</v>
      </c>
    </row>
    <row r="40" spans="1:8" s="27" customFormat="1">
      <c r="A40" s="399" t="s">
        <v>19</v>
      </c>
      <c r="B40" s="400"/>
      <c r="C40" s="400"/>
      <c r="D40" s="400"/>
      <c r="E40" s="400"/>
      <c r="F40" s="400"/>
      <c r="G40" s="401"/>
      <c r="H40" s="44">
        <f>SUM(H37:H39)</f>
        <v>2193.0361199999998</v>
      </c>
    </row>
    <row r="41" spans="1:8" s="53" customFormat="1">
      <c r="A41" s="46">
        <v>7</v>
      </c>
      <c r="B41" s="52"/>
      <c r="C41" s="392" t="s">
        <v>62</v>
      </c>
      <c r="D41" s="392"/>
      <c r="E41" s="392"/>
      <c r="F41" s="392"/>
      <c r="G41" s="392"/>
      <c r="H41" s="392"/>
    </row>
    <row r="42" spans="1:8" s="32" customFormat="1" ht="56.25">
      <c r="A42" s="33" t="s">
        <v>56</v>
      </c>
      <c r="B42" s="34">
        <v>90843</v>
      </c>
      <c r="C42" s="63" t="s">
        <v>64</v>
      </c>
      <c r="D42" s="57">
        <v>22</v>
      </c>
      <c r="E42" s="58" t="s">
        <v>65</v>
      </c>
      <c r="F42" s="59">
        <v>1100.54</v>
      </c>
      <c r="G42" s="94">
        <f t="shared" ref="G42:G49" si="4">F42*1.2771</f>
        <v>1405.4996339999998</v>
      </c>
      <c r="H42" s="94">
        <f t="shared" ref="H42:H49" si="5">D42*G42</f>
        <v>30920.991947999995</v>
      </c>
    </row>
    <row r="43" spans="1:8" s="32" customFormat="1" ht="56.25">
      <c r="A43" s="33" t="s">
        <v>58</v>
      </c>
      <c r="B43" s="45">
        <v>90844</v>
      </c>
      <c r="C43" s="64" t="s">
        <v>66</v>
      </c>
      <c r="D43" s="36">
        <v>7</v>
      </c>
      <c r="E43" s="34" t="s">
        <v>65</v>
      </c>
      <c r="F43" s="37">
        <v>1184.9000000000001</v>
      </c>
      <c r="G43" s="94">
        <f t="shared" si="4"/>
        <v>1513.23579</v>
      </c>
      <c r="H43" s="94">
        <f t="shared" si="5"/>
        <v>10592.650529999999</v>
      </c>
    </row>
    <row r="44" spans="1:8" s="32" customFormat="1" ht="75">
      <c r="A44" s="33" t="s">
        <v>60</v>
      </c>
      <c r="B44" s="66" t="s">
        <v>69</v>
      </c>
      <c r="C44" s="65" t="s">
        <v>70</v>
      </c>
      <c r="D44" s="36">
        <v>6</v>
      </c>
      <c r="E44" s="34" t="s">
        <v>65</v>
      </c>
      <c r="F44" s="37">
        <v>1499.26</v>
      </c>
      <c r="G44" s="94">
        <f t="shared" si="4"/>
        <v>1914.7049459999998</v>
      </c>
      <c r="H44" s="94">
        <f t="shared" si="5"/>
        <v>11488.229675999999</v>
      </c>
    </row>
    <row r="45" spans="1:8" s="32" customFormat="1" ht="75">
      <c r="A45" s="33" t="s">
        <v>615</v>
      </c>
      <c r="B45" s="66" t="s">
        <v>71</v>
      </c>
      <c r="C45" s="65" t="s">
        <v>72</v>
      </c>
      <c r="D45" s="36">
        <v>5</v>
      </c>
      <c r="E45" s="34" t="s">
        <v>65</v>
      </c>
      <c r="F45" s="37">
        <v>1530.7</v>
      </c>
      <c r="G45" s="94">
        <f t="shared" si="4"/>
        <v>1954.8569699999998</v>
      </c>
      <c r="H45" s="94">
        <f t="shared" si="5"/>
        <v>9774.28485</v>
      </c>
    </row>
    <row r="46" spans="1:8" s="32" customFormat="1" ht="75">
      <c r="A46" s="33" t="s">
        <v>616</v>
      </c>
      <c r="B46" s="66" t="s">
        <v>73</v>
      </c>
      <c r="C46" s="65" t="s">
        <v>74</v>
      </c>
      <c r="D46" s="36">
        <v>3</v>
      </c>
      <c r="E46" s="34" t="s">
        <v>65</v>
      </c>
      <c r="F46" s="37">
        <v>3242.32</v>
      </c>
      <c r="G46" s="94">
        <f t="shared" si="4"/>
        <v>4140.7668720000001</v>
      </c>
      <c r="H46" s="94">
        <f t="shared" si="5"/>
        <v>12422.300616</v>
      </c>
    </row>
    <row r="47" spans="1:8" s="32" customFormat="1" ht="75">
      <c r="A47" s="33" t="s">
        <v>617</v>
      </c>
      <c r="B47" s="66" t="s">
        <v>75</v>
      </c>
      <c r="C47" s="65" t="s">
        <v>76</v>
      </c>
      <c r="D47" s="36">
        <v>2</v>
      </c>
      <c r="E47" s="34" t="s">
        <v>65</v>
      </c>
      <c r="F47" s="37">
        <v>3653.85</v>
      </c>
      <c r="G47" s="94">
        <f t="shared" si="4"/>
        <v>4666.331835</v>
      </c>
      <c r="H47" s="94">
        <f t="shared" si="5"/>
        <v>9332.6636699999999</v>
      </c>
    </row>
    <row r="48" spans="1:8" s="32" customFormat="1">
      <c r="A48" s="33" t="s">
        <v>618</v>
      </c>
      <c r="B48" s="66" t="s">
        <v>77</v>
      </c>
      <c r="C48" s="65" t="s">
        <v>78</v>
      </c>
      <c r="D48" s="36">
        <f>+[1]Esquadrias!H30</f>
        <v>2.5</v>
      </c>
      <c r="E48" s="34" t="s">
        <v>16</v>
      </c>
      <c r="F48" s="37">
        <v>453.89</v>
      </c>
      <c r="G48" s="94">
        <f t="shared" si="4"/>
        <v>579.66291899999999</v>
      </c>
      <c r="H48" s="94">
        <f t="shared" si="5"/>
        <v>1449.1572974999999</v>
      </c>
    </row>
    <row r="49" spans="1:8" s="32" customFormat="1">
      <c r="A49" s="33" t="s">
        <v>619</v>
      </c>
      <c r="B49" s="67" t="s">
        <v>67</v>
      </c>
      <c r="C49" s="65" t="s">
        <v>79</v>
      </c>
      <c r="D49" s="36">
        <v>4</v>
      </c>
      <c r="E49" s="34" t="s">
        <v>16</v>
      </c>
      <c r="F49" s="37">
        <v>526.61</v>
      </c>
      <c r="G49" s="94">
        <f t="shared" si="4"/>
        <v>672.53363100000001</v>
      </c>
      <c r="H49" s="94">
        <f t="shared" si="5"/>
        <v>2690.1345240000001</v>
      </c>
    </row>
    <row r="50" spans="1:8" s="27" customFormat="1">
      <c r="A50" s="399" t="s">
        <v>19</v>
      </c>
      <c r="B50" s="400"/>
      <c r="C50" s="400"/>
      <c r="D50" s="400"/>
      <c r="E50" s="400"/>
      <c r="F50" s="400"/>
      <c r="G50" s="401"/>
      <c r="H50" s="68">
        <f>SUM(H42:H49)</f>
        <v>88670.413111499991</v>
      </c>
    </row>
    <row r="51" spans="1:8" s="53" customFormat="1">
      <c r="A51" s="46">
        <v>8</v>
      </c>
      <c r="B51" s="52"/>
      <c r="C51" s="392" t="s">
        <v>80</v>
      </c>
      <c r="D51" s="392"/>
      <c r="E51" s="392"/>
      <c r="F51" s="392"/>
      <c r="G51" s="392"/>
      <c r="H51" s="392"/>
    </row>
    <row r="52" spans="1:8" s="31" customFormat="1">
      <c r="A52" s="377" t="s">
        <v>63</v>
      </c>
      <c r="B52" s="34" t="s">
        <v>205</v>
      </c>
      <c r="C52" s="56" t="s">
        <v>206</v>
      </c>
      <c r="D52" s="57">
        <v>8</v>
      </c>
      <c r="E52" s="58" t="s">
        <v>16</v>
      </c>
      <c r="F52" s="59">
        <v>155.99</v>
      </c>
      <c r="G52" s="94">
        <f>F52*1.2771</f>
        <v>199.21482900000001</v>
      </c>
      <c r="H52" s="94">
        <f>D52*G52</f>
        <v>1593.7186320000001</v>
      </c>
    </row>
    <row r="53" spans="1:8" s="27" customFormat="1">
      <c r="A53" s="399" t="s">
        <v>19</v>
      </c>
      <c r="B53" s="400"/>
      <c r="C53" s="400"/>
      <c r="D53" s="400"/>
      <c r="E53" s="400"/>
      <c r="F53" s="400"/>
      <c r="G53" s="401"/>
      <c r="H53" s="44">
        <f>SUM(H52:H52)</f>
        <v>1593.7186320000001</v>
      </c>
    </row>
    <row r="54" spans="1:8" s="53" customFormat="1">
      <c r="A54" s="46">
        <v>9</v>
      </c>
      <c r="B54" s="52"/>
      <c r="C54" s="392" t="s">
        <v>82</v>
      </c>
      <c r="D54" s="392"/>
      <c r="E54" s="392"/>
      <c r="F54" s="392"/>
      <c r="G54" s="392"/>
      <c r="H54" s="392"/>
    </row>
    <row r="55" spans="1:8" s="53" customFormat="1">
      <c r="A55" s="46"/>
      <c r="B55" s="52"/>
      <c r="C55" s="392" t="s">
        <v>83</v>
      </c>
      <c r="D55" s="392"/>
      <c r="E55" s="392"/>
      <c r="F55" s="392"/>
      <c r="G55" s="392"/>
      <c r="H55" s="392"/>
    </row>
    <row r="56" spans="1:8" s="48" customFormat="1" ht="56.25">
      <c r="A56" s="331" t="s">
        <v>81</v>
      </c>
      <c r="B56" s="332">
        <v>91792</v>
      </c>
      <c r="C56" s="333" t="s">
        <v>85</v>
      </c>
      <c r="D56" s="334">
        <v>15</v>
      </c>
      <c r="E56" s="335" t="s">
        <v>47</v>
      </c>
      <c r="F56" s="336">
        <v>56.87</v>
      </c>
      <c r="G56" s="337">
        <f t="shared" ref="G56:G59" si="6">F56*1.2771</f>
        <v>72.628676999999996</v>
      </c>
      <c r="H56" s="337">
        <f>D56*G56</f>
        <v>1089.430155</v>
      </c>
    </row>
    <row r="57" spans="1:8" s="48" customFormat="1" ht="56.25">
      <c r="A57" s="331" t="s">
        <v>620</v>
      </c>
      <c r="B57" s="332">
        <v>91793</v>
      </c>
      <c r="C57" s="338" t="s">
        <v>87</v>
      </c>
      <c r="D57" s="339">
        <v>15</v>
      </c>
      <c r="E57" s="332" t="s">
        <v>47</v>
      </c>
      <c r="F57" s="340">
        <v>87.73</v>
      </c>
      <c r="G57" s="337">
        <f t="shared" si="6"/>
        <v>112.03998299999999</v>
      </c>
      <c r="H57" s="337">
        <f>D57*G57</f>
        <v>1680.599745</v>
      </c>
    </row>
    <row r="58" spans="1:8" s="48" customFormat="1" ht="56.25">
      <c r="A58" s="331" t="s">
        <v>621</v>
      </c>
      <c r="B58" s="332">
        <v>91795</v>
      </c>
      <c r="C58" s="338" t="s">
        <v>89</v>
      </c>
      <c r="D58" s="339">
        <v>10</v>
      </c>
      <c r="E58" s="332" t="s">
        <v>47</v>
      </c>
      <c r="F58" s="340">
        <v>73.45</v>
      </c>
      <c r="G58" s="337">
        <f t="shared" si="6"/>
        <v>93.802994999999996</v>
      </c>
      <c r="H58" s="337">
        <f>D58*G58</f>
        <v>938.02994999999999</v>
      </c>
    </row>
    <row r="59" spans="1:8" s="32" customFormat="1" ht="37.5">
      <c r="A59" s="331" t="s">
        <v>622</v>
      </c>
      <c r="B59" s="344" t="s">
        <v>91</v>
      </c>
      <c r="C59" s="345" t="s">
        <v>92</v>
      </c>
      <c r="D59" s="339">
        <v>3</v>
      </c>
      <c r="E59" s="332" t="s">
        <v>65</v>
      </c>
      <c r="F59" s="340">
        <f>92.5+29.88</f>
        <v>122.38</v>
      </c>
      <c r="G59" s="337">
        <f t="shared" si="6"/>
        <v>156.29149799999999</v>
      </c>
      <c r="H59" s="337">
        <f>D59*G59</f>
        <v>468.87449399999997</v>
      </c>
    </row>
    <row r="60" spans="1:8" s="32" customFormat="1">
      <c r="A60" s="331"/>
      <c r="B60" s="332"/>
      <c r="C60" s="393" t="s">
        <v>608</v>
      </c>
      <c r="D60" s="393"/>
      <c r="E60" s="393"/>
      <c r="F60" s="393"/>
      <c r="G60" s="393"/>
      <c r="H60" s="393"/>
    </row>
    <row r="61" spans="1:8" s="32" customFormat="1" ht="56.25">
      <c r="A61" s="331" t="s">
        <v>623</v>
      </c>
      <c r="B61" s="332">
        <v>91785</v>
      </c>
      <c r="C61" s="338" t="s">
        <v>94</v>
      </c>
      <c r="D61" s="339">
        <v>30</v>
      </c>
      <c r="E61" s="332" t="s">
        <v>47</v>
      </c>
      <c r="F61" s="340">
        <v>43.5</v>
      </c>
      <c r="G61" s="337">
        <f t="shared" ref="G61:G63" si="7">F61*1.2771</f>
        <v>55.553849999999997</v>
      </c>
      <c r="H61" s="337">
        <f>D61*G61</f>
        <v>1666.6154999999999</v>
      </c>
    </row>
    <row r="62" spans="1:8" s="32" customFormat="1" ht="37.5">
      <c r="A62" s="331" t="s">
        <v>624</v>
      </c>
      <c r="B62" s="332">
        <v>89985</v>
      </c>
      <c r="C62" s="338" t="s">
        <v>96</v>
      </c>
      <c r="D62" s="339">
        <v>2</v>
      </c>
      <c r="E62" s="332" t="s">
        <v>65</v>
      </c>
      <c r="F62" s="340">
        <v>103.53</v>
      </c>
      <c r="G62" s="337">
        <f t="shared" si="7"/>
        <v>132.218163</v>
      </c>
      <c r="H62" s="337">
        <f>D62*G62</f>
        <v>264.43632600000001</v>
      </c>
    </row>
    <row r="63" spans="1:8" s="32" customFormat="1" ht="37.5">
      <c r="A63" s="331" t="s">
        <v>625</v>
      </c>
      <c r="B63" s="34">
        <v>89987</v>
      </c>
      <c r="C63" s="35" t="s">
        <v>98</v>
      </c>
      <c r="D63" s="36">
        <v>10</v>
      </c>
      <c r="E63" s="34" t="s">
        <v>65</v>
      </c>
      <c r="F63" s="37">
        <v>109.2</v>
      </c>
      <c r="G63" s="94">
        <f t="shared" si="7"/>
        <v>139.45931999999999</v>
      </c>
      <c r="H63" s="94">
        <f>D63*G63</f>
        <v>1394.5931999999998</v>
      </c>
    </row>
    <row r="64" spans="1:8" s="31" customFormat="1">
      <c r="A64" s="61"/>
      <c r="B64" s="34"/>
      <c r="C64" s="394" t="s">
        <v>609</v>
      </c>
      <c r="D64" s="394"/>
      <c r="E64" s="394"/>
      <c r="F64" s="394"/>
      <c r="G64" s="394"/>
      <c r="H64" s="394"/>
    </row>
    <row r="65" spans="1:8" s="31" customFormat="1" ht="56.25">
      <c r="A65" s="33" t="s">
        <v>626</v>
      </c>
      <c r="B65" s="55" t="s">
        <v>100</v>
      </c>
      <c r="C65" s="35" t="s">
        <v>101</v>
      </c>
      <c r="D65" s="36">
        <v>10</v>
      </c>
      <c r="E65" s="34" t="s">
        <v>65</v>
      </c>
      <c r="F65" s="100">
        <f>510.99+42.9</f>
        <v>553.89</v>
      </c>
      <c r="G65" s="75">
        <f t="shared" ref="G65:G80" si="8">F65*1.2771</f>
        <v>707.37291899999991</v>
      </c>
      <c r="H65" s="75">
        <f t="shared" ref="H65:H80" si="9">D65*G65</f>
        <v>7073.7291899999991</v>
      </c>
    </row>
    <row r="66" spans="1:8" s="31" customFormat="1" ht="56.25">
      <c r="A66" s="33" t="s">
        <v>627</v>
      </c>
      <c r="B66" s="55" t="s">
        <v>103</v>
      </c>
      <c r="C66" s="64" t="s">
        <v>104</v>
      </c>
      <c r="D66" s="36">
        <v>18</v>
      </c>
      <c r="E66" s="34" t="s">
        <v>65</v>
      </c>
      <c r="F66" s="37">
        <f>945.57+199.67</f>
        <v>1145.24</v>
      </c>
      <c r="G66" s="94">
        <f t="shared" si="8"/>
        <v>1462.586004</v>
      </c>
      <c r="H66" s="94">
        <f t="shared" si="9"/>
        <v>26326.548072000001</v>
      </c>
    </row>
    <row r="67" spans="1:8" s="31" customFormat="1">
      <c r="A67" s="33" t="s">
        <v>628</v>
      </c>
      <c r="B67" s="34">
        <v>36796</v>
      </c>
      <c r="C67" s="35" t="s">
        <v>106</v>
      </c>
      <c r="D67" s="36">
        <v>18</v>
      </c>
      <c r="E67" s="34" t="s">
        <v>65</v>
      </c>
      <c r="F67" s="37">
        <v>206.86</v>
      </c>
      <c r="G67" s="94">
        <f t="shared" si="8"/>
        <v>264.18090599999999</v>
      </c>
      <c r="H67" s="94">
        <f t="shared" si="9"/>
        <v>4755.256308</v>
      </c>
    </row>
    <row r="68" spans="1:8" s="31" customFormat="1" ht="37.5">
      <c r="A68" s="33" t="s">
        <v>629</v>
      </c>
      <c r="B68" s="34" t="s">
        <v>208</v>
      </c>
      <c r="C68" s="65" t="s">
        <v>209</v>
      </c>
      <c r="D68" s="36">
        <f>14-9</f>
        <v>5</v>
      </c>
      <c r="E68" s="34" t="s">
        <v>65</v>
      </c>
      <c r="F68" s="37">
        <v>121.07</v>
      </c>
      <c r="G68" s="94">
        <f t="shared" si="8"/>
        <v>154.61849699999999</v>
      </c>
      <c r="H68" s="94">
        <f t="shared" si="9"/>
        <v>773.0924849999999</v>
      </c>
    </row>
    <row r="69" spans="1:8" s="31" customFormat="1">
      <c r="A69" s="33" t="s">
        <v>630</v>
      </c>
      <c r="B69" s="346" t="s">
        <v>109</v>
      </c>
      <c r="C69" s="65" t="s">
        <v>110</v>
      </c>
      <c r="D69" s="36">
        <v>3</v>
      </c>
      <c r="E69" s="34" t="s">
        <v>65</v>
      </c>
      <c r="F69" s="37">
        <v>734.02</v>
      </c>
      <c r="G69" s="94">
        <f t="shared" si="8"/>
        <v>937.41694199999995</v>
      </c>
      <c r="H69" s="94">
        <f t="shared" si="9"/>
        <v>2812.250826</v>
      </c>
    </row>
    <row r="70" spans="1:8" s="31" customFormat="1">
      <c r="A70" s="33" t="s">
        <v>631</v>
      </c>
      <c r="B70" s="34">
        <v>86883</v>
      </c>
      <c r="C70" s="65" t="s">
        <v>112</v>
      </c>
      <c r="D70" s="36">
        <v>3</v>
      </c>
      <c r="E70" s="34" t="s">
        <v>65</v>
      </c>
      <c r="F70" s="37">
        <v>14.23</v>
      </c>
      <c r="G70" s="94">
        <f t="shared" si="8"/>
        <v>18.173133</v>
      </c>
      <c r="H70" s="94">
        <f t="shared" si="9"/>
        <v>54.519399</v>
      </c>
    </row>
    <row r="71" spans="1:8" s="32" customFormat="1" ht="37.5">
      <c r="A71" s="33" t="s">
        <v>632</v>
      </c>
      <c r="B71" s="34">
        <v>86914</v>
      </c>
      <c r="C71" s="65" t="s">
        <v>114</v>
      </c>
      <c r="D71" s="36">
        <v>3</v>
      </c>
      <c r="E71" s="34" t="s">
        <v>65</v>
      </c>
      <c r="F71" s="37">
        <v>135.56</v>
      </c>
      <c r="G71" s="94">
        <f t="shared" si="8"/>
        <v>173.12367599999999</v>
      </c>
      <c r="H71" s="94">
        <f t="shared" si="9"/>
        <v>519.37102800000002</v>
      </c>
    </row>
    <row r="72" spans="1:8" s="31" customFormat="1" ht="37.5">
      <c r="A72" s="33" t="s">
        <v>633</v>
      </c>
      <c r="B72" s="34">
        <v>95546</v>
      </c>
      <c r="C72" s="35" t="s">
        <v>116</v>
      </c>
      <c r="D72" s="36">
        <v>7</v>
      </c>
      <c r="E72" s="34" t="s">
        <v>65</v>
      </c>
      <c r="F72" s="37">
        <v>216.44</v>
      </c>
      <c r="G72" s="94">
        <f t="shared" si="8"/>
        <v>276.41552399999995</v>
      </c>
      <c r="H72" s="94">
        <f t="shared" si="9"/>
        <v>1934.9086679999996</v>
      </c>
    </row>
    <row r="73" spans="1:8" s="31" customFormat="1">
      <c r="A73" s="33" t="s">
        <v>634</v>
      </c>
      <c r="B73" s="34">
        <v>95544</v>
      </c>
      <c r="C73" s="65" t="s">
        <v>118</v>
      </c>
      <c r="D73" s="36">
        <v>3</v>
      </c>
      <c r="E73" s="34" t="s">
        <v>65</v>
      </c>
      <c r="F73" s="37">
        <v>72.31</v>
      </c>
      <c r="G73" s="94">
        <f t="shared" si="8"/>
        <v>92.347100999999995</v>
      </c>
      <c r="H73" s="94">
        <f t="shared" si="9"/>
        <v>277.04130299999997</v>
      </c>
    </row>
    <row r="74" spans="1:8" s="31" customFormat="1">
      <c r="A74" s="33" t="s">
        <v>635</v>
      </c>
      <c r="B74" s="34">
        <v>95542</v>
      </c>
      <c r="C74" s="65" t="s">
        <v>120</v>
      </c>
      <c r="D74" s="36">
        <v>3</v>
      </c>
      <c r="E74" s="34" t="s">
        <v>65</v>
      </c>
      <c r="F74" s="37">
        <v>57.34</v>
      </c>
      <c r="G74" s="94">
        <f t="shared" si="8"/>
        <v>73.228914000000003</v>
      </c>
      <c r="H74" s="94">
        <f t="shared" si="9"/>
        <v>219.68674200000001</v>
      </c>
    </row>
    <row r="75" spans="1:8" s="31" customFormat="1">
      <c r="A75" s="33" t="s">
        <v>636</v>
      </c>
      <c r="B75" s="34">
        <v>37399</v>
      </c>
      <c r="C75" s="65" t="s">
        <v>122</v>
      </c>
      <c r="D75" s="36">
        <v>3</v>
      </c>
      <c r="E75" s="34" t="s">
        <v>65</v>
      </c>
      <c r="F75" s="37">
        <v>41.98</v>
      </c>
      <c r="G75" s="94">
        <f t="shared" si="8"/>
        <v>53.612657999999989</v>
      </c>
      <c r="H75" s="94">
        <f t="shared" si="9"/>
        <v>160.83797399999997</v>
      </c>
    </row>
    <row r="76" spans="1:8" s="31" customFormat="1" ht="37.5">
      <c r="A76" s="33" t="s">
        <v>637</v>
      </c>
      <c r="B76" s="34">
        <v>95547</v>
      </c>
      <c r="C76" s="35" t="s">
        <v>124</v>
      </c>
      <c r="D76" s="36">
        <f>+D66</f>
        <v>18</v>
      </c>
      <c r="E76" s="34" t="s">
        <v>65</v>
      </c>
      <c r="F76" s="37">
        <v>49.89</v>
      </c>
      <c r="G76" s="94">
        <f t="shared" si="8"/>
        <v>63.714518999999996</v>
      </c>
      <c r="H76" s="94">
        <f t="shared" si="9"/>
        <v>1146.8613419999999</v>
      </c>
    </row>
    <row r="77" spans="1:8" s="32" customFormat="1">
      <c r="A77" s="33" t="s">
        <v>638</v>
      </c>
      <c r="B77" s="34" t="s">
        <v>18</v>
      </c>
      <c r="C77" s="35" t="s">
        <v>126</v>
      </c>
      <c r="D77" s="36">
        <v>9</v>
      </c>
      <c r="E77" s="34" t="s">
        <v>65</v>
      </c>
      <c r="F77" s="37">
        <f>166.41</f>
        <v>166.41</v>
      </c>
      <c r="G77" s="94">
        <f t="shared" si="8"/>
        <v>212.52221099999997</v>
      </c>
      <c r="H77" s="94">
        <f t="shared" si="9"/>
        <v>1912.6998989999997</v>
      </c>
    </row>
    <row r="78" spans="1:8" s="32" customFormat="1">
      <c r="A78" s="33" t="s">
        <v>639</v>
      </c>
      <c r="B78" s="34" t="s">
        <v>18</v>
      </c>
      <c r="C78" s="65" t="s">
        <v>128</v>
      </c>
      <c r="D78" s="36">
        <v>2</v>
      </c>
      <c r="E78" s="34" t="s">
        <v>65</v>
      </c>
      <c r="F78" s="37">
        <f>560.57+5.29</f>
        <v>565.86</v>
      </c>
      <c r="G78" s="94">
        <f t="shared" si="8"/>
        <v>722.659806</v>
      </c>
      <c r="H78" s="94">
        <f t="shared" si="9"/>
        <v>1445.319612</v>
      </c>
    </row>
    <row r="79" spans="1:8" s="32" customFormat="1">
      <c r="A79" s="33" t="s">
        <v>640</v>
      </c>
      <c r="B79" s="34" t="s">
        <v>18</v>
      </c>
      <c r="C79" s="35" t="s">
        <v>130</v>
      </c>
      <c r="D79" s="36">
        <v>2</v>
      </c>
      <c r="E79" s="34" t="s">
        <v>65</v>
      </c>
      <c r="F79" s="37">
        <v>159.9</v>
      </c>
      <c r="G79" s="94">
        <f t="shared" si="8"/>
        <v>204.20829000000001</v>
      </c>
      <c r="H79" s="94">
        <f t="shared" si="9"/>
        <v>408.41658000000001</v>
      </c>
    </row>
    <row r="80" spans="1:8" s="32" customFormat="1">
      <c r="A80" s="33" t="s">
        <v>641</v>
      </c>
      <c r="B80" s="34">
        <v>1367</v>
      </c>
      <c r="C80" s="35" t="s">
        <v>210</v>
      </c>
      <c r="D80" s="36">
        <v>7</v>
      </c>
      <c r="E80" s="34" t="s">
        <v>65</v>
      </c>
      <c r="F80" s="37">
        <v>230.15</v>
      </c>
      <c r="G80" s="94">
        <f t="shared" si="8"/>
        <v>293.92456499999997</v>
      </c>
      <c r="H80" s="94">
        <f t="shared" si="9"/>
        <v>2057.471955</v>
      </c>
    </row>
    <row r="81" spans="1:8" s="27" customFormat="1">
      <c r="A81" s="39"/>
      <c r="B81" s="40"/>
      <c r="C81" s="41" t="s">
        <v>19</v>
      </c>
      <c r="D81" s="49"/>
      <c r="E81" s="41"/>
      <c r="F81" s="69"/>
      <c r="G81" s="43"/>
      <c r="H81" s="44">
        <f>SUM(H56:H80)</f>
        <v>59380.590752999982</v>
      </c>
    </row>
    <row r="82" spans="1:8" s="53" customFormat="1">
      <c r="A82" s="46">
        <v>10</v>
      </c>
      <c r="B82" s="47"/>
      <c r="C82" s="397" t="s">
        <v>132</v>
      </c>
      <c r="D82" s="397"/>
      <c r="E82" s="397"/>
      <c r="F82" s="397"/>
      <c r="G82" s="397"/>
      <c r="H82" s="397"/>
    </row>
    <row r="83" spans="1:8" s="32" customFormat="1" ht="37.5">
      <c r="A83" s="61" t="s">
        <v>84</v>
      </c>
      <c r="B83" s="95" t="s">
        <v>211</v>
      </c>
      <c r="C83" s="96" t="s">
        <v>212</v>
      </c>
      <c r="D83" s="97">
        <v>1</v>
      </c>
      <c r="E83" s="98" t="s">
        <v>65</v>
      </c>
      <c r="F83" s="99">
        <v>3112.8759799999998</v>
      </c>
      <c r="G83" s="94">
        <f t="shared" ref="G83:G115" si="10">F83*1.2771</f>
        <v>3975.4539140579996</v>
      </c>
      <c r="H83" s="94">
        <f t="shared" ref="H83:H115" si="11">D83*G83</f>
        <v>3975.4539140579996</v>
      </c>
    </row>
    <row r="84" spans="1:8" s="32" customFormat="1" ht="37.5">
      <c r="A84" s="61" t="s">
        <v>86</v>
      </c>
      <c r="B84" s="34">
        <v>101881</v>
      </c>
      <c r="C84" s="35" t="s">
        <v>213</v>
      </c>
      <c r="D84" s="97">
        <v>1</v>
      </c>
      <c r="E84" s="98" t="s">
        <v>65</v>
      </c>
      <c r="F84" s="100">
        <v>1136.5999999999999</v>
      </c>
      <c r="G84" s="94">
        <f t="shared" si="10"/>
        <v>1451.5518599999998</v>
      </c>
      <c r="H84" s="94">
        <f t="shared" si="11"/>
        <v>1451.5518599999998</v>
      </c>
    </row>
    <row r="85" spans="1:8" s="32" customFormat="1" ht="37.5">
      <c r="A85" s="61" t="s">
        <v>88</v>
      </c>
      <c r="B85" s="34">
        <v>101883</v>
      </c>
      <c r="C85" s="35" t="s">
        <v>214</v>
      </c>
      <c r="D85" s="97">
        <v>2</v>
      </c>
      <c r="E85" s="98" t="s">
        <v>65</v>
      </c>
      <c r="F85" s="100">
        <v>651.79999999999995</v>
      </c>
      <c r="G85" s="94">
        <f t="shared" si="10"/>
        <v>832.41377999999986</v>
      </c>
      <c r="H85" s="94">
        <f t="shared" si="11"/>
        <v>1664.8275599999997</v>
      </c>
    </row>
    <row r="86" spans="1:8" s="32" customFormat="1">
      <c r="A86" s="61" t="s">
        <v>90</v>
      </c>
      <c r="B86" s="34">
        <v>91940</v>
      </c>
      <c r="C86" s="35" t="s">
        <v>215</v>
      </c>
      <c r="D86" s="97">
        <v>15</v>
      </c>
      <c r="E86" s="98" t="s">
        <v>65</v>
      </c>
      <c r="F86" s="100">
        <v>14.23</v>
      </c>
      <c r="G86" s="94">
        <f t="shared" si="10"/>
        <v>18.173133</v>
      </c>
      <c r="H86" s="94">
        <f t="shared" si="11"/>
        <v>272.59699499999999</v>
      </c>
    </row>
    <row r="87" spans="1:8" s="32" customFormat="1">
      <c r="A87" s="61" t="s">
        <v>93</v>
      </c>
      <c r="B87" s="34">
        <v>91936</v>
      </c>
      <c r="C87" s="35" t="s">
        <v>216</v>
      </c>
      <c r="D87" s="97">
        <v>8</v>
      </c>
      <c r="E87" s="98" t="s">
        <v>65</v>
      </c>
      <c r="F87" s="100">
        <v>13.83</v>
      </c>
      <c r="G87" s="94">
        <f t="shared" si="10"/>
        <v>17.662292999999998</v>
      </c>
      <c r="H87" s="94">
        <f t="shared" si="11"/>
        <v>141.29834399999999</v>
      </c>
    </row>
    <row r="88" spans="1:8" s="32" customFormat="1" ht="37.5">
      <c r="A88" s="61" t="s">
        <v>95</v>
      </c>
      <c r="B88" s="34">
        <v>91926</v>
      </c>
      <c r="C88" s="35" t="s">
        <v>217</v>
      </c>
      <c r="D88" s="97">
        <v>350</v>
      </c>
      <c r="E88" s="98" t="s">
        <v>47</v>
      </c>
      <c r="F88" s="100">
        <v>4.18</v>
      </c>
      <c r="G88" s="94">
        <f t="shared" si="10"/>
        <v>5.338277999999999</v>
      </c>
      <c r="H88" s="94">
        <f t="shared" si="11"/>
        <v>1868.3972999999996</v>
      </c>
    </row>
    <row r="89" spans="1:8" s="32" customFormat="1" ht="37.5">
      <c r="A89" s="61" t="s">
        <v>97</v>
      </c>
      <c r="B89" s="34">
        <v>91930</v>
      </c>
      <c r="C89" s="35" t="s">
        <v>141</v>
      </c>
      <c r="D89" s="97">
        <v>180</v>
      </c>
      <c r="E89" s="98" t="s">
        <v>47</v>
      </c>
      <c r="F89" s="100">
        <v>9.4499999999999993</v>
      </c>
      <c r="G89" s="94">
        <f t="shared" si="10"/>
        <v>12.068594999999998</v>
      </c>
      <c r="H89" s="94">
        <f t="shared" si="11"/>
        <v>2172.3470999999995</v>
      </c>
    </row>
    <row r="90" spans="1:8" s="32" customFormat="1" ht="37.5">
      <c r="A90" s="61" t="s">
        <v>99</v>
      </c>
      <c r="B90" s="34">
        <v>91933</v>
      </c>
      <c r="C90" s="35" t="s">
        <v>218</v>
      </c>
      <c r="D90" s="97">
        <v>300</v>
      </c>
      <c r="E90" s="98" t="s">
        <v>47</v>
      </c>
      <c r="F90" s="100">
        <v>16.739999999999998</v>
      </c>
      <c r="G90" s="94">
        <f t="shared" si="10"/>
        <v>21.378653999999997</v>
      </c>
      <c r="H90" s="94">
        <f t="shared" si="11"/>
        <v>6413.596199999999</v>
      </c>
    </row>
    <row r="91" spans="1:8" s="32" customFormat="1" ht="37.5">
      <c r="A91" s="61" t="s">
        <v>102</v>
      </c>
      <c r="B91" s="101">
        <v>92986</v>
      </c>
      <c r="C91" s="35" t="s">
        <v>219</v>
      </c>
      <c r="D91" s="97">
        <v>50</v>
      </c>
      <c r="E91" s="98" t="s">
        <v>47</v>
      </c>
      <c r="F91" s="99">
        <v>39.75</v>
      </c>
      <c r="G91" s="94">
        <f t="shared" si="10"/>
        <v>50.764724999999999</v>
      </c>
      <c r="H91" s="94">
        <f t="shared" si="11"/>
        <v>2538.2362499999999</v>
      </c>
    </row>
    <row r="92" spans="1:8" s="32" customFormat="1" ht="37.5">
      <c r="A92" s="61" t="s">
        <v>105</v>
      </c>
      <c r="B92" s="34">
        <v>92988</v>
      </c>
      <c r="C92" s="35" t="s">
        <v>220</v>
      </c>
      <c r="D92" s="97">
        <v>85</v>
      </c>
      <c r="E92" s="98" t="s">
        <v>47</v>
      </c>
      <c r="F92" s="99">
        <v>55.94</v>
      </c>
      <c r="G92" s="94">
        <f t="shared" si="10"/>
        <v>71.440973999999997</v>
      </c>
      <c r="H92" s="94">
        <f t="shared" si="11"/>
        <v>6072.48279</v>
      </c>
    </row>
    <row r="93" spans="1:8" s="32" customFormat="1" ht="56.25">
      <c r="A93" s="61" t="s">
        <v>107</v>
      </c>
      <c r="B93" s="34">
        <v>92992</v>
      </c>
      <c r="C93" s="35" t="s">
        <v>221</v>
      </c>
      <c r="D93" s="97">
        <v>340</v>
      </c>
      <c r="E93" s="98" t="s">
        <v>47</v>
      </c>
      <c r="F93" s="99">
        <v>101.64</v>
      </c>
      <c r="G93" s="94">
        <f t="shared" si="10"/>
        <v>129.80444399999999</v>
      </c>
      <c r="H93" s="94">
        <f t="shared" si="11"/>
        <v>44133.51096</v>
      </c>
    </row>
    <row r="94" spans="1:8" s="32" customFormat="1" ht="37.5">
      <c r="A94" s="61" t="s">
        <v>108</v>
      </c>
      <c r="B94" s="55" t="s">
        <v>222</v>
      </c>
      <c r="C94" s="35" t="s">
        <v>223</v>
      </c>
      <c r="D94" s="97">
        <v>18</v>
      </c>
      <c r="E94" s="98" t="s">
        <v>47</v>
      </c>
      <c r="F94" s="99">
        <v>95.062444150000005</v>
      </c>
      <c r="G94" s="94">
        <f t="shared" si="10"/>
        <v>121.404247423965</v>
      </c>
      <c r="H94" s="94">
        <f t="shared" si="11"/>
        <v>2185.2764536313703</v>
      </c>
    </row>
    <row r="95" spans="1:8" s="32" customFormat="1" ht="37.5">
      <c r="A95" s="61" t="s">
        <v>111</v>
      </c>
      <c r="B95" s="55" t="s">
        <v>224</v>
      </c>
      <c r="C95" s="35" t="s">
        <v>225</v>
      </c>
      <c r="D95" s="97">
        <v>5</v>
      </c>
      <c r="E95" s="98" t="s">
        <v>65</v>
      </c>
      <c r="F95" s="99">
        <v>14.3515</v>
      </c>
      <c r="G95" s="94">
        <f t="shared" si="10"/>
        <v>18.328300649999999</v>
      </c>
      <c r="H95" s="94">
        <f t="shared" si="11"/>
        <v>91.64150325</v>
      </c>
    </row>
    <row r="96" spans="1:8" s="32" customFormat="1" ht="37.5">
      <c r="A96" s="61" t="s">
        <v>113</v>
      </c>
      <c r="B96" s="34">
        <v>91996</v>
      </c>
      <c r="C96" s="35" t="s">
        <v>226</v>
      </c>
      <c r="D96" s="97">
        <v>93</v>
      </c>
      <c r="E96" s="98" t="s">
        <v>65</v>
      </c>
      <c r="F96" s="99">
        <v>29.43</v>
      </c>
      <c r="G96" s="94">
        <f t="shared" si="10"/>
        <v>37.585052999999995</v>
      </c>
      <c r="H96" s="94">
        <f t="shared" si="11"/>
        <v>3495.4099289999995</v>
      </c>
    </row>
    <row r="97" spans="1:8" s="32" customFormat="1" ht="37.5">
      <c r="A97" s="61" t="s">
        <v>115</v>
      </c>
      <c r="B97" s="34">
        <v>91953</v>
      </c>
      <c r="C97" s="35" t="s">
        <v>227</v>
      </c>
      <c r="D97" s="97">
        <v>21</v>
      </c>
      <c r="E97" s="98" t="s">
        <v>65</v>
      </c>
      <c r="F97" s="99">
        <v>24.79</v>
      </c>
      <c r="G97" s="94">
        <f t="shared" si="10"/>
        <v>31.659308999999997</v>
      </c>
      <c r="H97" s="94">
        <f t="shared" si="11"/>
        <v>664.84548899999993</v>
      </c>
    </row>
    <row r="98" spans="1:8" s="32" customFormat="1" ht="37.5">
      <c r="A98" s="61" t="s">
        <v>117</v>
      </c>
      <c r="B98" s="95" t="s">
        <v>228</v>
      </c>
      <c r="C98" s="96" t="s">
        <v>229</v>
      </c>
      <c r="D98" s="97">
        <v>44</v>
      </c>
      <c r="E98" s="98" t="s">
        <v>65</v>
      </c>
      <c r="F98" s="99">
        <v>273.86</v>
      </c>
      <c r="G98" s="94">
        <f t="shared" si="10"/>
        <v>349.74660599999999</v>
      </c>
      <c r="H98" s="94">
        <f t="shared" si="11"/>
        <v>15388.850664</v>
      </c>
    </row>
    <row r="99" spans="1:8" s="32" customFormat="1" ht="37.5">
      <c r="A99" s="61" t="s">
        <v>119</v>
      </c>
      <c r="B99" s="95" t="s">
        <v>230</v>
      </c>
      <c r="C99" s="96" t="s">
        <v>231</v>
      </c>
      <c r="D99" s="97">
        <v>25</v>
      </c>
      <c r="E99" s="98" t="s">
        <v>65</v>
      </c>
      <c r="F99" s="99">
        <v>118.235367</v>
      </c>
      <c r="G99" s="94">
        <f t="shared" si="10"/>
        <v>150.99838719569999</v>
      </c>
      <c r="H99" s="94">
        <f t="shared" si="11"/>
        <v>3774.9596798924999</v>
      </c>
    </row>
    <row r="100" spans="1:8" s="32" customFormat="1" ht="37.5">
      <c r="A100" s="61" t="s">
        <v>121</v>
      </c>
      <c r="B100" s="95" t="s">
        <v>232</v>
      </c>
      <c r="C100" s="96" t="s">
        <v>233</v>
      </c>
      <c r="D100" s="97">
        <v>2</v>
      </c>
      <c r="E100" s="98" t="s">
        <v>65</v>
      </c>
      <c r="F100" s="99">
        <v>1207.69768</v>
      </c>
      <c r="G100" s="94">
        <f t="shared" si="10"/>
        <v>1542.3507071279998</v>
      </c>
      <c r="H100" s="94">
        <f t="shared" si="11"/>
        <v>3084.7014142559997</v>
      </c>
    </row>
    <row r="101" spans="1:8" s="32" customFormat="1" ht="37.5">
      <c r="A101" s="61" t="s">
        <v>123</v>
      </c>
      <c r="B101" s="95" t="s">
        <v>234</v>
      </c>
      <c r="C101" s="96" t="s">
        <v>235</v>
      </c>
      <c r="D101" s="97">
        <v>2</v>
      </c>
      <c r="E101" s="98" t="s">
        <v>65</v>
      </c>
      <c r="F101" s="99">
        <v>211.99795</v>
      </c>
      <c r="G101" s="94">
        <f t="shared" si="10"/>
        <v>270.74258194499998</v>
      </c>
      <c r="H101" s="94">
        <f t="shared" si="11"/>
        <v>541.48516388999997</v>
      </c>
    </row>
    <row r="102" spans="1:8" s="32" customFormat="1" ht="37.5">
      <c r="A102" s="61" t="s">
        <v>125</v>
      </c>
      <c r="B102" s="34">
        <v>93654</v>
      </c>
      <c r="C102" s="35" t="s">
        <v>236</v>
      </c>
      <c r="D102" s="97">
        <v>12</v>
      </c>
      <c r="E102" s="98" t="s">
        <v>65</v>
      </c>
      <c r="F102" s="99">
        <v>11.87</v>
      </c>
      <c r="G102" s="94">
        <f t="shared" si="10"/>
        <v>15.159176999999998</v>
      </c>
      <c r="H102" s="94">
        <f t="shared" si="11"/>
        <v>181.91012399999997</v>
      </c>
    </row>
    <row r="103" spans="1:8" s="32" customFormat="1" ht="37.5">
      <c r="A103" s="61" t="s">
        <v>127</v>
      </c>
      <c r="B103" s="34">
        <v>93655</v>
      </c>
      <c r="C103" s="35" t="s">
        <v>237</v>
      </c>
      <c r="D103" s="97">
        <v>65</v>
      </c>
      <c r="E103" s="98" t="s">
        <v>65</v>
      </c>
      <c r="F103" s="99">
        <v>13</v>
      </c>
      <c r="G103" s="94">
        <f t="shared" si="10"/>
        <v>16.6023</v>
      </c>
      <c r="H103" s="94">
        <f t="shared" si="11"/>
        <v>1079.1495</v>
      </c>
    </row>
    <row r="104" spans="1:8" s="32" customFormat="1" ht="37.5">
      <c r="A104" s="61" t="s">
        <v>129</v>
      </c>
      <c r="B104" s="34">
        <v>93656</v>
      </c>
      <c r="C104" s="35" t="s">
        <v>238</v>
      </c>
      <c r="D104" s="97">
        <v>18</v>
      </c>
      <c r="E104" s="98" t="s">
        <v>65</v>
      </c>
      <c r="F104" s="99">
        <v>13</v>
      </c>
      <c r="G104" s="94">
        <f t="shared" si="10"/>
        <v>16.6023</v>
      </c>
      <c r="H104" s="94">
        <f t="shared" si="11"/>
        <v>298.84140000000002</v>
      </c>
    </row>
    <row r="105" spans="1:8" s="32" customFormat="1" ht="37.5">
      <c r="A105" s="61" t="s">
        <v>131</v>
      </c>
      <c r="B105" s="34">
        <v>93657</v>
      </c>
      <c r="C105" s="35" t="s">
        <v>239</v>
      </c>
      <c r="D105" s="97">
        <v>4</v>
      </c>
      <c r="E105" s="98" t="s">
        <v>65</v>
      </c>
      <c r="F105" s="99">
        <v>14.35</v>
      </c>
      <c r="G105" s="94">
        <f t="shared" si="10"/>
        <v>18.326384999999998</v>
      </c>
      <c r="H105" s="94">
        <f t="shared" si="11"/>
        <v>73.305539999999993</v>
      </c>
    </row>
    <row r="106" spans="1:8" s="32" customFormat="1">
      <c r="A106" s="61" t="s">
        <v>642</v>
      </c>
      <c r="B106" s="34" t="s">
        <v>240</v>
      </c>
      <c r="C106" s="35" t="s">
        <v>241</v>
      </c>
      <c r="D106" s="97">
        <v>4</v>
      </c>
      <c r="E106" s="98" t="s">
        <v>65</v>
      </c>
      <c r="F106" s="99">
        <v>129.96858</v>
      </c>
      <c r="G106" s="94">
        <f t="shared" si="10"/>
        <v>165.98287351799999</v>
      </c>
      <c r="H106" s="94">
        <f t="shared" si="11"/>
        <v>663.93149407199996</v>
      </c>
    </row>
    <row r="107" spans="1:8" s="32" customFormat="1" ht="37.5">
      <c r="A107" s="61" t="s">
        <v>643</v>
      </c>
      <c r="B107" s="34">
        <v>93012</v>
      </c>
      <c r="C107" s="35" t="s">
        <v>242</v>
      </c>
      <c r="D107" s="97">
        <v>20</v>
      </c>
      <c r="E107" s="98" t="s">
        <v>47</v>
      </c>
      <c r="F107" s="99">
        <v>70.37</v>
      </c>
      <c r="G107" s="94">
        <f t="shared" si="10"/>
        <v>89.869527000000005</v>
      </c>
      <c r="H107" s="94">
        <f t="shared" si="11"/>
        <v>1797.3905400000001</v>
      </c>
    </row>
    <row r="108" spans="1:8" s="32" customFormat="1" ht="37.5">
      <c r="A108" s="61" t="s">
        <v>644</v>
      </c>
      <c r="B108" s="34">
        <v>93017</v>
      </c>
      <c r="C108" s="35" t="s">
        <v>243</v>
      </c>
      <c r="D108" s="97">
        <v>7</v>
      </c>
      <c r="E108" s="98" t="s">
        <v>65</v>
      </c>
      <c r="F108" s="99">
        <v>51.98</v>
      </c>
      <c r="G108" s="94">
        <f t="shared" si="10"/>
        <v>66.383657999999997</v>
      </c>
      <c r="H108" s="94">
        <f t="shared" si="11"/>
        <v>464.68560600000001</v>
      </c>
    </row>
    <row r="109" spans="1:8" s="32" customFormat="1" ht="37.5">
      <c r="A109" s="61" t="s">
        <v>645</v>
      </c>
      <c r="B109" s="34">
        <v>93026</v>
      </c>
      <c r="C109" s="35" t="s">
        <v>244</v>
      </c>
      <c r="D109" s="97">
        <v>4</v>
      </c>
      <c r="E109" s="98" t="s">
        <v>65</v>
      </c>
      <c r="F109" s="99">
        <v>86.65</v>
      </c>
      <c r="G109" s="94">
        <f t="shared" si="10"/>
        <v>110.660715</v>
      </c>
      <c r="H109" s="94">
        <f t="shared" si="11"/>
        <v>442.64285999999998</v>
      </c>
    </row>
    <row r="110" spans="1:8" s="32" customFormat="1" ht="37.5">
      <c r="A110" s="61" t="s">
        <v>646</v>
      </c>
      <c r="B110" s="34" t="s">
        <v>245</v>
      </c>
      <c r="C110" s="35" t="s">
        <v>246</v>
      </c>
      <c r="D110" s="97">
        <v>2</v>
      </c>
      <c r="E110" s="98" t="s">
        <v>65</v>
      </c>
      <c r="F110" s="99">
        <v>259.102915</v>
      </c>
      <c r="G110" s="94">
        <f t="shared" si="10"/>
        <v>330.90033274649994</v>
      </c>
      <c r="H110" s="94">
        <f t="shared" si="11"/>
        <v>661.80066549299988</v>
      </c>
    </row>
    <row r="111" spans="1:8" s="32" customFormat="1" ht="37.5">
      <c r="A111" s="61" t="s">
        <v>647</v>
      </c>
      <c r="B111" s="34" t="s">
        <v>247</v>
      </c>
      <c r="C111" s="35" t="s">
        <v>248</v>
      </c>
      <c r="D111" s="97">
        <v>14</v>
      </c>
      <c r="E111" s="98" t="s">
        <v>65</v>
      </c>
      <c r="F111" s="99">
        <v>8.1526800000000001</v>
      </c>
      <c r="G111" s="94">
        <f t="shared" si="10"/>
        <v>10.411787627999999</v>
      </c>
      <c r="H111" s="94">
        <f t="shared" si="11"/>
        <v>145.76502679199999</v>
      </c>
    </row>
    <row r="112" spans="1:8" s="32" customFormat="1" ht="37.5">
      <c r="A112" s="61" t="s">
        <v>648</v>
      </c>
      <c r="B112" s="34">
        <v>97736</v>
      </c>
      <c r="C112" s="35" t="s">
        <v>249</v>
      </c>
      <c r="D112" s="97">
        <v>0.24</v>
      </c>
      <c r="E112" s="98" t="s">
        <v>23</v>
      </c>
      <c r="F112" s="99">
        <v>1468.18</v>
      </c>
      <c r="G112" s="94">
        <f t="shared" si="10"/>
        <v>1875.0126780000001</v>
      </c>
      <c r="H112" s="94">
        <f t="shared" si="11"/>
        <v>450.00304272</v>
      </c>
    </row>
    <row r="113" spans="1:8" s="32" customFormat="1">
      <c r="A113" s="61" t="s">
        <v>649</v>
      </c>
      <c r="B113" s="34">
        <v>38092</v>
      </c>
      <c r="C113" s="35" t="s">
        <v>250</v>
      </c>
      <c r="D113" s="97">
        <f>3+4+2+1+1+1+1+2+1+1+1+1+1+3+1+2+1+1+1+1+2+1+1+1+2+3+2+1+1+1+1+3+1+3+2+1+2+4+2+1+1+11+1+1+3+1+1+1+1+1+1+1+3+1+3+4+2+3+1+1+6+1+2+1</f>
        <v>117</v>
      </c>
      <c r="E113" s="102" t="s">
        <v>65</v>
      </c>
      <c r="F113" s="99">
        <v>2.46</v>
      </c>
      <c r="G113" s="94">
        <f t="shared" si="10"/>
        <v>3.1416659999999998</v>
      </c>
      <c r="H113" s="94">
        <f t="shared" si="11"/>
        <v>367.57492199999996</v>
      </c>
    </row>
    <row r="114" spans="1:8" s="32" customFormat="1">
      <c r="A114" s="61" t="s">
        <v>650</v>
      </c>
      <c r="B114" s="34">
        <v>38093</v>
      </c>
      <c r="C114" s="35" t="s">
        <v>251</v>
      </c>
      <c r="D114" s="97">
        <f>1+1+1+1+2+1+1+1+2+1+1+1+1+1+5+1+1+1+2+1+1+30+1+1+1+1+2+4+1+1+1+3+2</f>
        <v>76</v>
      </c>
      <c r="E114" s="102" t="s">
        <v>65</v>
      </c>
      <c r="F114" s="99">
        <v>2.5499999999999998</v>
      </c>
      <c r="G114" s="94">
        <f t="shared" si="10"/>
        <v>3.2566049999999995</v>
      </c>
      <c r="H114" s="94">
        <f t="shared" si="11"/>
        <v>247.50197999999997</v>
      </c>
    </row>
    <row r="115" spans="1:8" s="32" customFormat="1">
      <c r="A115" s="61" t="s">
        <v>651</v>
      </c>
      <c r="B115" s="34">
        <v>38094</v>
      </c>
      <c r="C115" s="35" t="s">
        <v>252</v>
      </c>
      <c r="D115" s="97">
        <f>1+1+1</f>
        <v>3</v>
      </c>
      <c r="E115" s="102" t="s">
        <v>65</v>
      </c>
      <c r="F115" s="99">
        <v>3.12</v>
      </c>
      <c r="G115" s="94">
        <f t="shared" si="10"/>
        <v>3.9845519999999999</v>
      </c>
      <c r="H115" s="94">
        <f t="shared" si="11"/>
        <v>11.953655999999999</v>
      </c>
    </row>
    <row r="116" spans="1:8" s="32" customFormat="1">
      <c r="A116" s="331"/>
      <c r="B116" s="347"/>
      <c r="C116" s="403" t="s">
        <v>253</v>
      </c>
      <c r="D116" s="404"/>
      <c r="E116" s="404"/>
      <c r="F116" s="404"/>
      <c r="G116" s="404"/>
      <c r="H116" s="405"/>
    </row>
    <row r="117" spans="1:8" s="32" customFormat="1">
      <c r="A117" s="61" t="s">
        <v>652</v>
      </c>
      <c r="B117" s="34">
        <v>91940</v>
      </c>
      <c r="C117" s="35" t="s">
        <v>215</v>
      </c>
      <c r="D117" s="97">
        <v>7</v>
      </c>
      <c r="E117" s="98" t="s">
        <v>65</v>
      </c>
      <c r="F117" s="78">
        <v>14.23</v>
      </c>
      <c r="G117" s="94">
        <f t="shared" ref="G117:G129" si="12">F117*1.2771</f>
        <v>18.173133</v>
      </c>
      <c r="H117" s="94">
        <f t="shared" ref="H117:H129" si="13">D117*G117</f>
        <v>127.21193099999999</v>
      </c>
    </row>
    <row r="118" spans="1:8" s="32" customFormat="1" ht="37.5">
      <c r="A118" s="61" t="s">
        <v>653</v>
      </c>
      <c r="B118" s="34">
        <v>91926</v>
      </c>
      <c r="C118" s="35" t="s">
        <v>217</v>
      </c>
      <c r="D118" s="97">
        <v>300</v>
      </c>
      <c r="E118" s="98" t="s">
        <v>47</v>
      </c>
      <c r="F118" s="78">
        <v>4.18</v>
      </c>
      <c r="G118" s="94">
        <f t="shared" si="12"/>
        <v>5.338277999999999</v>
      </c>
      <c r="H118" s="94">
        <f t="shared" si="13"/>
        <v>1601.4833999999996</v>
      </c>
    </row>
    <row r="119" spans="1:8" s="32" customFormat="1" ht="37.5">
      <c r="A119" s="61" t="s">
        <v>654</v>
      </c>
      <c r="B119" s="34">
        <v>91872</v>
      </c>
      <c r="C119" s="35" t="s">
        <v>254</v>
      </c>
      <c r="D119" s="97">
        <v>50</v>
      </c>
      <c r="E119" s="98" t="s">
        <v>47</v>
      </c>
      <c r="F119" s="78">
        <v>16.64</v>
      </c>
      <c r="G119" s="94">
        <f t="shared" si="12"/>
        <v>21.250944</v>
      </c>
      <c r="H119" s="94">
        <f t="shared" si="13"/>
        <v>1062.5472</v>
      </c>
    </row>
    <row r="120" spans="1:8" s="32" customFormat="1" ht="37.5">
      <c r="A120" s="61" t="s">
        <v>655</v>
      </c>
      <c r="B120" s="34">
        <v>91919</v>
      </c>
      <c r="C120" s="35" t="s">
        <v>255</v>
      </c>
      <c r="D120" s="97">
        <v>9</v>
      </c>
      <c r="E120" s="98" t="s">
        <v>65</v>
      </c>
      <c r="F120" s="78">
        <v>19.54</v>
      </c>
      <c r="G120" s="94">
        <f t="shared" si="12"/>
        <v>24.954533999999995</v>
      </c>
      <c r="H120" s="94">
        <f t="shared" si="13"/>
        <v>224.59080599999996</v>
      </c>
    </row>
    <row r="121" spans="1:8" s="32" customFormat="1" ht="37.5">
      <c r="A121" s="61" t="s">
        <v>656</v>
      </c>
      <c r="B121" s="34">
        <v>91885</v>
      </c>
      <c r="C121" s="35" t="s">
        <v>256</v>
      </c>
      <c r="D121" s="97">
        <v>18</v>
      </c>
      <c r="E121" s="98" t="s">
        <v>65</v>
      </c>
      <c r="F121" s="78">
        <v>9.99</v>
      </c>
      <c r="G121" s="94">
        <f t="shared" si="12"/>
        <v>12.758229</v>
      </c>
      <c r="H121" s="94">
        <f t="shared" si="13"/>
        <v>229.648122</v>
      </c>
    </row>
    <row r="122" spans="1:8" s="32" customFormat="1" ht="37.5">
      <c r="A122" s="61" t="s">
        <v>657</v>
      </c>
      <c r="B122" s="55" t="s">
        <v>224</v>
      </c>
      <c r="C122" s="35" t="s">
        <v>225</v>
      </c>
      <c r="D122" s="97">
        <v>4</v>
      </c>
      <c r="E122" s="98" t="s">
        <v>65</v>
      </c>
      <c r="F122" s="78">
        <v>14.3515</v>
      </c>
      <c r="G122" s="94">
        <f t="shared" si="12"/>
        <v>18.328300649999999</v>
      </c>
      <c r="H122" s="94">
        <f t="shared" si="13"/>
        <v>73.313202599999997</v>
      </c>
    </row>
    <row r="123" spans="1:8" s="32" customFormat="1" ht="37.5">
      <c r="A123" s="61" t="s">
        <v>658</v>
      </c>
      <c r="B123" s="101">
        <v>101875</v>
      </c>
      <c r="C123" s="35" t="s">
        <v>257</v>
      </c>
      <c r="D123" s="97">
        <v>1</v>
      </c>
      <c r="E123" s="98" t="s">
        <v>65</v>
      </c>
      <c r="F123" s="78">
        <v>470.7</v>
      </c>
      <c r="G123" s="94">
        <f t="shared" si="12"/>
        <v>601.13096999999993</v>
      </c>
      <c r="H123" s="94">
        <f t="shared" si="13"/>
        <v>601.13096999999993</v>
      </c>
    </row>
    <row r="124" spans="1:8" s="32" customFormat="1" ht="37.5">
      <c r="A124" s="61" t="s">
        <v>659</v>
      </c>
      <c r="B124" s="34">
        <v>93655</v>
      </c>
      <c r="C124" s="35" t="s">
        <v>237</v>
      </c>
      <c r="D124" s="97">
        <v>7</v>
      </c>
      <c r="E124" s="98" t="s">
        <v>65</v>
      </c>
      <c r="F124" s="78">
        <v>13</v>
      </c>
      <c r="G124" s="94">
        <f t="shared" si="12"/>
        <v>16.6023</v>
      </c>
      <c r="H124" s="94">
        <f t="shared" si="13"/>
        <v>116.2161</v>
      </c>
    </row>
    <row r="125" spans="1:8" s="32" customFormat="1">
      <c r="A125" s="61" t="s">
        <v>660</v>
      </c>
      <c r="B125" s="34">
        <v>93672</v>
      </c>
      <c r="C125" s="35" t="s">
        <v>258</v>
      </c>
      <c r="D125" s="97">
        <v>2</v>
      </c>
      <c r="E125" s="98" t="s">
        <v>65</v>
      </c>
      <c r="F125" s="78">
        <v>84.41</v>
      </c>
      <c r="G125" s="94">
        <f t="shared" si="12"/>
        <v>107.80001099999998</v>
      </c>
      <c r="H125" s="94">
        <f t="shared" si="13"/>
        <v>215.60002199999997</v>
      </c>
    </row>
    <row r="126" spans="1:8" s="32" customFormat="1" ht="37.5">
      <c r="A126" s="61" t="s">
        <v>661</v>
      </c>
      <c r="B126" s="34">
        <v>91933</v>
      </c>
      <c r="C126" s="35" t="s">
        <v>218</v>
      </c>
      <c r="D126" s="97">
        <v>60</v>
      </c>
      <c r="E126" s="98" t="s">
        <v>47</v>
      </c>
      <c r="F126" s="78">
        <v>16.739999999999998</v>
      </c>
      <c r="G126" s="94">
        <f t="shared" si="12"/>
        <v>21.378653999999997</v>
      </c>
      <c r="H126" s="94">
        <f t="shared" si="13"/>
        <v>1282.7192399999999</v>
      </c>
    </row>
    <row r="127" spans="1:8" s="32" customFormat="1" ht="37.5">
      <c r="A127" s="61" t="s">
        <v>662</v>
      </c>
      <c r="B127" s="34">
        <v>95809</v>
      </c>
      <c r="C127" s="35" t="s">
        <v>259</v>
      </c>
      <c r="D127" s="97">
        <v>5</v>
      </c>
      <c r="E127" s="98" t="s">
        <v>65</v>
      </c>
      <c r="F127" s="78">
        <v>32.770000000000003</v>
      </c>
      <c r="G127" s="94">
        <f t="shared" si="12"/>
        <v>41.850566999999998</v>
      </c>
      <c r="H127" s="94">
        <f t="shared" si="13"/>
        <v>209.252835</v>
      </c>
    </row>
    <row r="128" spans="1:8" s="32" customFormat="1" ht="37.5">
      <c r="A128" s="61" t="s">
        <v>663</v>
      </c>
      <c r="B128" s="34">
        <v>95815</v>
      </c>
      <c r="C128" s="35" t="s">
        <v>260</v>
      </c>
      <c r="D128" s="97">
        <v>1</v>
      </c>
      <c r="E128" s="98" t="s">
        <v>65</v>
      </c>
      <c r="F128" s="78">
        <v>27.3</v>
      </c>
      <c r="G128" s="94">
        <f t="shared" si="12"/>
        <v>34.864829999999998</v>
      </c>
      <c r="H128" s="94">
        <f t="shared" si="13"/>
        <v>34.864829999999998</v>
      </c>
    </row>
    <row r="129" spans="1:364" s="32" customFormat="1">
      <c r="A129" s="61" t="s">
        <v>664</v>
      </c>
      <c r="B129" s="34">
        <v>90447</v>
      </c>
      <c r="C129" s="35" t="s">
        <v>261</v>
      </c>
      <c r="D129" s="97">
        <v>50</v>
      </c>
      <c r="E129" s="98" t="s">
        <v>47</v>
      </c>
      <c r="F129" s="78">
        <v>5.7</v>
      </c>
      <c r="G129" s="94">
        <f t="shared" si="12"/>
        <v>7.2794699999999999</v>
      </c>
      <c r="H129" s="94">
        <f t="shared" si="13"/>
        <v>363.9735</v>
      </c>
    </row>
    <row r="130" spans="1:364" s="32" customFormat="1">
      <c r="A130" s="331"/>
      <c r="B130" s="347"/>
      <c r="C130" s="406" t="s">
        <v>262</v>
      </c>
      <c r="D130" s="406"/>
      <c r="E130" s="406"/>
      <c r="F130" s="406"/>
      <c r="G130" s="406"/>
      <c r="H130" s="406"/>
    </row>
    <row r="131" spans="1:364" s="32" customFormat="1" ht="37.5">
      <c r="A131" s="61" t="s">
        <v>665</v>
      </c>
      <c r="B131" s="34">
        <v>91856</v>
      </c>
      <c r="C131" s="35" t="s">
        <v>263</v>
      </c>
      <c r="D131" s="97">
        <v>150</v>
      </c>
      <c r="E131" s="98" t="s">
        <v>47</v>
      </c>
      <c r="F131" s="78">
        <v>11.85</v>
      </c>
      <c r="G131" s="94">
        <f t="shared" ref="G131:G145" si="14">F131*1.2771</f>
        <v>15.133634999999998</v>
      </c>
      <c r="H131" s="94">
        <f t="shared" ref="H131:H145" si="15">D131*G131</f>
        <v>2270.0452499999997</v>
      </c>
    </row>
    <row r="132" spans="1:364" s="32" customFormat="1" ht="37.5">
      <c r="A132" s="61" t="s">
        <v>666</v>
      </c>
      <c r="B132" s="55" t="s">
        <v>222</v>
      </c>
      <c r="C132" s="35" t="s">
        <v>223</v>
      </c>
      <c r="D132" s="97">
        <f>41+14</f>
        <v>55</v>
      </c>
      <c r="E132" s="98" t="s">
        <v>47</v>
      </c>
      <c r="F132" s="78">
        <v>95.062444150000005</v>
      </c>
      <c r="G132" s="94">
        <f t="shared" si="14"/>
        <v>121.404247423965</v>
      </c>
      <c r="H132" s="94">
        <f t="shared" si="15"/>
        <v>6677.2336083180753</v>
      </c>
    </row>
    <row r="133" spans="1:364" s="32" customFormat="1" ht="37.5">
      <c r="A133" s="61" t="s">
        <v>667</v>
      </c>
      <c r="B133" s="55" t="s">
        <v>264</v>
      </c>
      <c r="C133" s="35" t="s">
        <v>265</v>
      </c>
      <c r="D133" s="97">
        <v>9</v>
      </c>
      <c r="E133" s="98" t="s">
        <v>65</v>
      </c>
      <c r="F133" s="104">
        <v>108.64755</v>
      </c>
      <c r="G133" s="94">
        <f t="shared" si="14"/>
        <v>138.75378610499999</v>
      </c>
      <c r="H133" s="94">
        <f t="shared" si="15"/>
        <v>1248.7840749449999</v>
      </c>
    </row>
    <row r="134" spans="1:364" s="32" customFormat="1" ht="37.5">
      <c r="A134" s="61" t="s">
        <v>668</v>
      </c>
      <c r="B134" s="55" t="s">
        <v>266</v>
      </c>
      <c r="C134" s="35" t="s">
        <v>267</v>
      </c>
      <c r="D134" s="97">
        <v>2</v>
      </c>
      <c r="E134" s="98" t="s">
        <v>65</v>
      </c>
      <c r="F134" s="104">
        <v>88.647549999999995</v>
      </c>
      <c r="G134" s="94">
        <f t="shared" si="14"/>
        <v>113.21178610499999</v>
      </c>
      <c r="H134" s="94">
        <f t="shared" si="15"/>
        <v>226.42357220999997</v>
      </c>
    </row>
    <row r="135" spans="1:364" s="32" customFormat="1" ht="75">
      <c r="A135" s="61" t="s">
        <v>669</v>
      </c>
      <c r="B135" s="55" t="s">
        <v>268</v>
      </c>
      <c r="C135" s="35" t="s">
        <v>269</v>
      </c>
      <c r="D135" s="97">
        <v>1</v>
      </c>
      <c r="E135" s="98" t="s">
        <v>65</v>
      </c>
      <c r="F135" s="104">
        <v>93.647549999999995</v>
      </c>
      <c r="G135" s="94">
        <f t="shared" si="14"/>
        <v>119.59728610499998</v>
      </c>
      <c r="H135" s="94">
        <f t="shared" si="15"/>
        <v>119.59728610499998</v>
      </c>
    </row>
    <row r="136" spans="1:364" s="32" customFormat="1">
      <c r="A136" s="61" t="s">
        <v>670</v>
      </c>
      <c r="B136" s="34">
        <v>98307</v>
      </c>
      <c r="C136" s="35" t="s">
        <v>270</v>
      </c>
      <c r="D136" s="97">
        <v>72</v>
      </c>
      <c r="E136" s="98" t="s">
        <v>65</v>
      </c>
      <c r="F136" s="78">
        <v>47.31</v>
      </c>
      <c r="G136" s="94">
        <f t="shared" si="14"/>
        <v>60.419601</v>
      </c>
      <c r="H136" s="94">
        <f t="shared" si="15"/>
        <v>4350.2112720000005</v>
      </c>
    </row>
    <row r="137" spans="1:364" s="32" customFormat="1" ht="37.5">
      <c r="A137" s="61" t="s">
        <v>671</v>
      </c>
      <c r="B137" s="105">
        <v>98297</v>
      </c>
      <c r="C137" s="106" t="s">
        <v>271</v>
      </c>
      <c r="D137" s="107">
        <v>1800</v>
      </c>
      <c r="E137" s="108" t="s">
        <v>47</v>
      </c>
      <c r="F137" s="104">
        <v>2.79</v>
      </c>
      <c r="G137" s="94">
        <f t="shared" si="14"/>
        <v>3.5631089999999999</v>
      </c>
      <c r="H137" s="94">
        <f t="shared" si="15"/>
        <v>6413.5962</v>
      </c>
    </row>
    <row r="138" spans="1:364" s="70" customFormat="1">
      <c r="A138" s="61" t="s">
        <v>672</v>
      </c>
      <c r="B138" s="34">
        <v>91940</v>
      </c>
      <c r="C138" s="35" t="s">
        <v>215</v>
      </c>
      <c r="D138" s="97">
        <v>36</v>
      </c>
      <c r="E138" s="98" t="s">
        <v>65</v>
      </c>
      <c r="F138" s="78">
        <v>14.23</v>
      </c>
      <c r="G138" s="94">
        <f t="shared" si="14"/>
        <v>18.173133</v>
      </c>
      <c r="H138" s="94">
        <f t="shared" si="15"/>
        <v>654.23278800000003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</row>
    <row r="139" spans="1:364" s="70" customFormat="1" ht="37.5">
      <c r="A139" s="61" t="s">
        <v>673</v>
      </c>
      <c r="B139" s="34" t="s">
        <v>272</v>
      </c>
      <c r="C139" s="35" t="s">
        <v>273</v>
      </c>
      <c r="D139" s="97">
        <v>11</v>
      </c>
      <c r="E139" s="98" t="s">
        <v>274</v>
      </c>
      <c r="F139" s="109">
        <v>94.216896000000006</v>
      </c>
      <c r="G139" s="94">
        <f t="shared" si="14"/>
        <v>120.32439788159999</v>
      </c>
      <c r="H139" s="94">
        <f t="shared" si="15"/>
        <v>1323.5683766975999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</row>
    <row r="140" spans="1:364" s="70" customFormat="1" ht="37.5">
      <c r="A140" s="61" t="s">
        <v>674</v>
      </c>
      <c r="B140" s="55" t="s">
        <v>224</v>
      </c>
      <c r="C140" s="35" t="s">
        <v>225</v>
      </c>
      <c r="D140" s="97">
        <v>15</v>
      </c>
      <c r="E140" s="98" t="s">
        <v>65</v>
      </c>
      <c r="F140" s="78">
        <v>14.3515</v>
      </c>
      <c r="G140" s="94">
        <f t="shared" si="14"/>
        <v>18.328300649999999</v>
      </c>
      <c r="H140" s="94">
        <f t="shared" si="15"/>
        <v>274.92450974999997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</row>
    <row r="141" spans="1:364" s="70" customFormat="1">
      <c r="A141" s="61" t="s">
        <v>675</v>
      </c>
      <c r="B141" s="34">
        <v>90447</v>
      </c>
      <c r="C141" s="35" t="s">
        <v>261</v>
      </c>
      <c r="D141" s="97">
        <v>150</v>
      </c>
      <c r="E141" s="98" t="s">
        <v>47</v>
      </c>
      <c r="F141" s="109">
        <v>5.7</v>
      </c>
      <c r="G141" s="94">
        <f t="shared" si="14"/>
        <v>7.2794699999999999</v>
      </c>
      <c r="H141" s="94">
        <f t="shared" si="15"/>
        <v>1091.9204999999999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</row>
    <row r="142" spans="1:364" s="70" customFormat="1">
      <c r="A142" s="61" t="s">
        <v>676</v>
      </c>
      <c r="B142" s="34">
        <v>98302</v>
      </c>
      <c r="C142" s="35" t="s">
        <v>275</v>
      </c>
      <c r="D142" s="97">
        <v>4</v>
      </c>
      <c r="E142" s="98" t="s">
        <v>65</v>
      </c>
      <c r="F142" s="110">
        <v>732.53</v>
      </c>
      <c r="G142" s="94">
        <f t="shared" si="14"/>
        <v>935.51406299999985</v>
      </c>
      <c r="H142" s="94">
        <f t="shared" si="15"/>
        <v>3742.0562519999994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</row>
    <row r="143" spans="1:364" s="70" customFormat="1">
      <c r="A143" s="61" t="s">
        <v>677</v>
      </c>
      <c r="B143" s="34" t="s">
        <v>276</v>
      </c>
      <c r="C143" s="35" t="s">
        <v>277</v>
      </c>
      <c r="D143" s="97">
        <v>2</v>
      </c>
      <c r="E143" s="98" t="s">
        <v>65</v>
      </c>
      <c r="F143" s="109">
        <v>510</v>
      </c>
      <c r="G143" s="94">
        <f t="shared" si="14"/>
        <v>651.32099999999991</v>
      </c>
      <c r="H143" s="94">
        <f t="shared" si="15"/>
        <v>1302.6419999999998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</row>
    <row r="144" spans="1:364" s="70" customFormat="1">
      <c r="A144" s="61" t="s">
        <v>678</v>
      </c>
      <c r="B144" s="34" t="s">
        <v>278</v>
      </c>
      <c r="C144" s="35" t="s">
        <v>279</v>
      </c>
      <c r="D144" s="97">
        <v>50</v>
      </c>
      <c r="E144" s="98" t="s">
        <v>47</v>
      </c>
      <c r="F144" s="109">
        <v>10.83</v>
      </c>
      <c r="G144" s="94">
        <f t="shared" si="14"/>
        <v>13.830992999999999</v>
      </c>
      <c r="H144" s="94">
        <f t="shared" si="15"/>
        <v>691.54964999999993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</row>
    <row r="145" spans="1:364" s="70" customFormat="1">
      <c r="A145" s="61" t="s">
        <v>679</v>
      </c>
      <c r="B145" s="34" t="s">
        <v>280</v>
      </c>
      <c r="C145" s="35" t="s">
        <v>281</v>
      </c>
      <c r="D145" s="97">
        <v>4</v>
      </c>
      <c r="E145" s="98" t="s">
        <v>134</v>
      </c>
      <c r="F145" s="109">
        <v>109.13</v>
      </c>
      <c r="G145" s="94">
        <f t="shared" si="14"/>
        <v>139.36992299999997</v>
      </c>
      <c r="H145" s="94">
        <f t="shared" si="15"/>
        <v>557.47969199999989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</row>
    <row r="146" spans="1:364" s="27" customFormat="1">
      <c r="A146" s="39"/>
      <c r="B146" s="40"/>
      <c r="C146" s="41" t="s">
        <v>19</v>
      </c>
      <c r="D146" s="49"/>
      <c r="E146" s="41"/>
      <c r="F146" s="42"/>
      <c r="G146" s="43"/>
      <c r="H146" s="44">
        <f>SUM(H83:H145)</f>
        <v>143904.74311768054</v>
      </c>
    </row>
    <row r="147" spans="1:364" s="53" customFormat="1">
      <c r="A147" s="51">
        <v>11</v>
      </c>
      <c r="B147" s="52"/>
      <c r="C147" s="392" t="s">
        <v>142</v>
      </c>
      <c r="D147" s="392"/>
      <c r="E147" s="392"/>
      <c r="F147" s="392"/>
      <c r="G147" s="392"/>
      <c r="H147" s="392"/>
    </row>
    <row r="148" spans="1:364" s="31" customFormat="1">
      <c r="A148" s="33"/>
      <c r="B148" s="34"/>
      <c r="C148" s="71" t="s">
        <v>143</v>
      </c>
      <c r="D148" s="57"/>
      <c r="E148" s="58"/>
      <c r="F148" s="59"/>
      <c r="G148" s="60"/>
      <c r="H148" s="60"/>
    </row>
    <row r="149" spans="1:364" s="31" customFormat="1">
      <c r="A149" s="33" t="s">
        <v>133</v>
      </c>
      <c r="B149" s="34">
        <v>88497</v>
      </c>
      <c r="C149" s="35" t="s">
        <v>145</v>
      </c>
      <c r="D149" s="36">
        <v>50</v>
      </c>
      <c r="E149" s="34" t="s">
        <v>16</v>
      </c>
      <c r="F149" s="37">
        <v>16.690000000000001</v>
      </c>
      <c r="G149" s="94">
        <f t="shared" ref="G149:G157" si="16">F149*1.2771</f>
        <v>21.314799000000001</v>
      </c>
      <c r="H149" s="94">
        <f t="shared" ref="H149:H157" si="17">D149*G149</f>
        <v>1065.7399500000001</v>
      </c>
    </row>
    <row r="150" spans="1:364" s="31" customFormat="1">
      <c r="A150" s="33" t="s">
        <v>135</v>
      </c>
      <c r="B150" s="34">
        <v>88489</v>
      </c>
      <c r="C150" s="35" t="s">
        <v>147</v>
      </c>
      <c r="D150" s="36">
        <v>837.95</v>
      </c>
      <c r="E150" s="34" t="s">
        <v>16</v>
      </c>
      <c r="F150" s="37">
        <v>14.63</v>
      </c>
      <c r="G150" s="94">
        <f t="shared" si="16"/>
        <v>18.683972999999998</v>
      </c>
      <c r="H150" s="94">
        <f t="shared" si="17"/>
        <v>15656.235175349999</v>
      </c>
    </row>
    <row r="151" spans="1:364" s="31" customFormat="1">
      <c r="A151" s="33" t="s">
        <v>136</v>
      </c>
      <c r="B151" s="34">
        <v>88485</v>
      </c>
      <c r="C151" s="35" t="s">
        <v>149</v>
      </c>
      <c r="D151" s="36">
        <v>50</v>
      </c>
      <c r="E151" s="34" t="s">
        <v>16</v>
      </c>
      <c r="F151" s="37">
        <v>2.36</v>
      </c>
      <c r="G151" s="94">
        <f t="shared" si="16"/>
        <v>3.0139559999999994</v>
      </c>
      <c r="H151" s="94">
        <f t="shared" si="17"/>
        <v>150.69779999999997</v>
      </c>
    </row>
    <row r="152" spans="1:364" s="31" customFormat="1">
      <c r="A152" s="33" t="s">
        <v>137</v>
      </c>
      <c r="B152" s="72">
        <v>96135</v>
      </c>
      <c r="C152" s="73" t="s">
        <v>151</v>
      </c>
      <c r="D152" s="74">
        <v>50</v>
      </c>
      <c r="E152" s="34" t="s">
        <v>16</v>
      </c>
      <c r="F152" s="37">
        <v>29.95</v>
      </c>
      <c r="G152" s="94">
        <f t="shared" si="16"/>
        <v>38.249144999999999</v>
      </c>
      <c r="H152" s="94">
        <f t="shared" si="17"/>
        <v>1912.4572499999999</v>
      </c>
    </row>
    <row r="153" spans="1:364" s="31" customFormat="1">
      <c r="A153" s="33" t="s">
        <v>138</v>
      </c>
      <c r="B153" s="66" t="s">
        <v>67</v>
      </c>
      <c r="C153" s="35" t="s">
        <v>153</v>
      </c>
      <c r="D153" s="36">
        <v>135.87</v>
      </c>
      <c r="E153" s="34" t="s">
        <v>16</v>
      </c>
      <c r="F153" s="37">
        <v>39.119999999999997</v>
      </c>
      <c r="G153" s="94">
        <f t="shared" si="16"/>
        <v>49.960151999999994</v>
      </c>
      <c r="H153" s="94">
        <f t="shared" si="17"/>
        <v>6788.0858522399994</v>
      </c>
    </row>
    <row r="154" spans="1:364" s="31" customFormat="1">
      <c r="A154" s="33"/>
      <c r="B154" s="34"/>
      <c r="C154" s="76" t="s">
        <v>154</v>
      </c>
      <c r="D154" s="36"/>
      <c r="E154" s="34"/>
      <c r="F154" s="37"/>
      <c r="G154" s="94"/>
      <c r="H154" s="94"/>
    </row>
    <row r="155" spans="1:364" s="31" customFormat="1">
      <c r="A155" s="33" t="s">
        <v>139</v>
      </c>
      <c r="B155" s="34" t="s">
        <v>690</v>
      </c>
      <c r="C155" s="35" t="s">
        <v>691</v>
      </c>
      <c r="D155" s="36">
        <v>387.96</v>
      </c>
      <c r="E155" s="34" t="s">
        <v>16</v>
      </c>
      <c r="F155" s="100">
        <v>2.73</v>
      </c>
      <c r="G155" s="94">
        <f t="shared" ref="G155" si="18">F155*1.2771</f>
        <v>3.4864829999999998</v>
      </c>
      <c r="H155" s="94">
        <f t="shared" ref="H155" si="19">D155*G155</f>
        <v>1352.6159446799998</v>
      </c>
    </row>
    <row r="156" spans="1:364" s="31" customFormat="1">
      <c r="A156" s="33" t="s">
        <v>140</v>
      </c>
      <c r="B156" s="34">
        <v>88496</v>
      </c>
      <c r="C156" s="35" t="s">
        <v>156</v>
      </c>
      <c r="D156" s="36">
        <v>387.95549999999997</v>
      </c>
      <c r="E156" s="34" t="s">
        <v>16</v>
      </c>
      <c r="F156" s="37">
        <v>27.78</v>
      </c>
      <c r="G156" s="94">
        <f t="shared" si="16"/>
        <v>35.477837999999998</v>
      </c>
      <c r="H156" s="94">
        <f t="shared" si="17"/>
        <v>13763.822380208998</v>
      </c>
    </row>
    <row r="157" spans="1:364" s="31" customFormat="1">
      <c r="A157" s="33" t="s">
        <v>692</v>
      </c>
      <c r="B157" s="34">
        <v>88488</v>
      </c>
      <c r="C157" s="35" t="s">
        <v>158</v>
      </c>
      <c r="D157" s="36">
        <v>387.95549999999997</v>
      </c>
      <c r="E157" s="34" t="s">
        <v>16</v>
      </c>
      <c r="F157" s="37">
        <v>14.63</v>
      </c>
      <c r="G157" s="94">
        <f t="shared" si="16"/>
        <v>18.683972999999998</v>
      </c>
      <c r="H157" s="94">
        <f t="shared" si="17"/>
        <v>7248.5500872014991</v>
      </c>
    </row>
    <row r="158" spans="1:364" s="27" customFormat="1">
      <c r="A158" s="39"/>
      <c r="B158" s="40"/>
      <c r="C158" s="41" t="s">
        <v>19</v>
      </c>
      <c r="D158" s="49"/>
      <c r="E158" s="41"/>
      <c r="F158" s="42"/>
      <c r="G158" s="43"/>
      <c r="H158" s="44">
        <f>SUM(H148:H157)</f>
        <v>47938.204439680499</v>
      </c>
    </row>
    <row r="159" spans="1:364" s="53" customFormat="1">
      <c r="A159" s="51">
        <v>12</v>
      </c>
      <c r="B159" s="52"/>
      <c r="C159" s="392" t="s">
        <v>161</v>
      </c>
      <c r="D159" s="392"/>
      <c r="E159" s="392"/>
      <c r="F159" s="392"/>
      <c r="G159" s="392"/>
      <c r="H159" s="392"/>
    </row>
    <row r="160" spans="1:364" s="31" customFormat="1" ht="37.5">
      <c r="A160" s="33" t="s">
        <v>144</v>
      </c>
      <c r="B160" s="66" t="s">
        <v>163</v>
      </c>
      <c r="C160" s="56" t="s">
        <v>164</v>
      </c>
      <c r="D160" s="57">
        <v>56.98</v>
      </c>
      <c r="E160" s="58" t="s">
        <v>47</v>
      </c>
      <c r="F160" s="59">
        <v>55.38</v>
      </c>
      <c r="G160" s="94">
        <f t="shared" ref="G160:G181" si="20">F160*1.2771</f>
        <v>70.725797999999998</v>
      </c>
      <c r="H160" s="94">
        <f t="shared" ref="H160:H168" si="21">D160*G160</f>
        <v>4029.9559700399996</v>
      </c>
    </row>
    <row r="161" spans="1:8" s="31" customFormat="1">
      <c r="A161" s="33" t="s">
        <v>146</v>
      </c>
      <c r="B161" s="66" t="s">
        <v>166</v>
      </c>
      <c r="C161" s="35" t="s">
        <v>167</v>
      </c>
      <c r="D161" s="36">
        <v>94.56</v>
      </c>
      <c r="E161" s="34" t="s">
        <v>47</v>
      </c>
      <c r="F161" s="37">
        <v>53.72</v>
      </c>
      <c r="G161" s="94">
        <f t="shared" si="20"/>
        <v>68.605812</v>
      </c>
      <c r="H161" s="94">
        <f t="shared" si="21"/>
        <v>6487.36558272</v>
      </c>
    </row>
    <row r="162" spans="1:8" s="31" customFormat="1">
      <c r="A162" s="33" t="s">
        <v>148</v>
      </c>
      <c r="B162" s="79">
        <v>36081</v>
      </c>
      <c r="C162" s="65" t="s">
        <v>169</v>
      </c>
      <c r="D162" s="36">
        <v>10</v>
      </c>
      <c r="E162" s="34" t="s">
        <v>65</v>
      </c>
      <c r="F162" s="37">
        <v>258.83999999999997</v>
      </c>
      <c r="G162" s="94">
        <f t="shared" si="20"/>
        <v>330.56456399999996</v>
      </c>
      <c r="H162" s="94">
        <f t="shared" si="21"/>
        <v>3305.6456399999997</v>
      </c>
    </row>
    <row r="163" spans="1:8" s="31" customFormat="1">
      <c r="A163" s="33" t="s">
        <v>150</v>
      </c>
      <c r="B163" s="66" t="s">
        <v>171</v>
      </c>
      <c r="C163" s="35" t="s">
        <v>172</v>
      </c>
      <c r="D163" s="36">
        <v>24.74</v>
      </c>
      <c r="E163" s="34" t="s">
        <v>47</v>
      </c>
      <c r="F163" s="37">
        <v>2302.29</v>
      </c>
      <c r="G163" s="94">
        <f t="shared" si="20"/>
        <v>2940.2545589999995</v>
      </c>
      <c r="H163" s="94">
        <f t="shared" si="21"/>
        <v>72741.897789659983</v>
      </c>
    </row>
    <row r="164" spans="1:8" s="31" customFormat="1">
      <c r="A164" s="33" t="s">
        <v>152</v>
      </c>
      <c r="B164" s="66" t="s">
        <v>174</v>
      </c>
      <c r="C164" s="35" t="s">
        <v>175</v>
      </c>
      <c r="D164" s="36">
        <v>2</v>
      </c>
      <c r="E164" s="34" t="s">
        <v>47</v>
      </c>
      <c r="F164" s="37">
        <v>531.6</v>
      </c>
      <c r="G164" s="94">
        <f t="shared" si="20"/>
        <v>678.90635999999995</v>
      </c>
      <c r="H164" s="94">
        <f t="shared" si="21"/>
        <v>1357.8127199999999</v>
      </c>
    </row>
    <row r="165" spans="1:8" s="31" customFormat="1" ht="37.5">
      <c r="A165" s="33" t="s">
        <v>155</v>
      </c>
      <c r="B165" s="66">
        <v>86936</v>
      </c>
      <c r="C165" s="64" t="s">
        <v>177</v>
      </c>
      <c r="D165" s="36">
        <v>16</v>
      </c>
      <c r="E165" s="34" t="s">
        <v>65</v>
      </c>
      <c r="F165" s="37">
        <v>589.84</v>
      </c>
      <c r="G165" s="94">
        <f t="shared" si="20"/>
        <v>753.28466400000002</v>
      </c>
      <c r="H165" s="94">
        <f t="shared" si="21"/>
        <v>12052.554624</v>
      </c>
    </row>
    <row r="166" spans="1:8" s="31" customFormat="1">
      <c r="A166" s="33" t="s">
        <v>157</v>
      </c>
      <c r="B166" s="66" t="s">
        <v>179</v>
      </c>
      <c r="C166" s="35" t="s">
        <v>180</v>
      </c>
      <c r="D166" s="36">
        <v>9</v>
      </c>
      <c r="E166" s="34" t="s">
        <v>65</v>
      </c>
      <c r="F166" s="37">
        <v>266.01</v>
      </c>
      <c r="G166" s="94">
        <f t="shared" si="20"/>
        <v>339.72137099999998</v>
      </c>
      <c r="H166" s="94">
        <f t="shared" si="21"/>
        <v>3057.4923389999999</v>
      </c>
    </row>
    <row r="167" spans="1:8" s="31" customFormat="1">
      <c r="A167" s="33" t="s">
        <v>159</v>
      </c>
      <c r="B167" s="66" t="s">
        <v>182</v>
      </c>
      <c r="C167" s="35" t="s">
        <v>183</v>
      </c>
      <c r="D167" s="36">
        <f>3+3+4.5+3+4.5+2.5+4.5+3.5+3.5</f>
        <v>32</v>
      </c>
      <c r="E167" s="34" t="s">
        <v>47</v>
      </c>
      <c r="F167" s="37">
        <v>55.91</v>
      </c>
      <c r="G167" s="94">
        <f t="shared" si="20"/>
        <v>71.402660999999995</v>
      </c>
      <c r="H167" s="94">
        <f t="shared" si="21"/>
        <v>2284.8851519999998</v>
      </c>
    </row>
    <row r="168" spans="1:8" s="32" customFormat="1" ht="37.5">
      <c r="A168" s="33" t="s">
        <v>160</v>
      </c>
      <c r="B168" s="66" t="s">
        <v>282</v>
      </c>
      <c r="C168" s="35" t="s">
        <v>283</v>
      </c>
      <c r="D168" s="36">
        <f>(12.5*33)+(1.3*2.85)</f>
        <v>416.20499999999998</v>
      </c>
      <c r="E168" s="34" t="s">
        <v>16</v>
      </c>
      <c r="F168" s="37">
        <v>4.75</v>
      </c>
      <c r="G168" s="94">
        <f t="shared" si="20"/>
        <v>6.0662249999999993</v>
      </c>
      <c r="H168" s="94">
        <f t="shared" si="21"/>
        <v>2524.7931761249997</v>
      </c>
    </row>
    <row r="169" spans="1:8" s="48" customFormat="1">
      <c r="A169" s="39"/>
      <c r="B169" s="40"/>
      <c r="C169" s="41" t="s">
        <v>19</v>
      </c>
      <c r="D169" s="49"/>
      <c r="E169" s="41"/>
      <c r="F169" s="42"/>
      <c r="G169" s="43"/>
      <c r="H169" s="44">
        <f>SUM(H160:H168)</f>
        <v>107842.40299354498</v>
      </c>
    </row>
    <row r="170" spans="1:8" s="32" customFormat="1">
      <c r="A170" s="378">
        <v>13</v>
      </c>
      <c r="B170" s="66"/>
      <c r="C170" s="29" t="s">
        <v>185</v>
      </c>
      <c r="D170" s="36"/>
      <c r="E170" s="34"/>
      <c r="F170" s="37"/>
      <c r="G170" s="94">
        <f t="shared" si="20"/>
        <v>0</v>
      </c>
      <c r="H170" s="38"/>
    </row>
    <row r="171" spans="1:8" s="32" customFormat="1">
      <c r="A171" s="379" t="s">
        <v>162</v>
      </c>
      <c r="B171" s="103" t="s">
        <v>189</v>
      </c>
      <c r="C171" s="77" t="s">
        <v>284</v>
      </c>
      <c r="D171" s="74">
        <f>48.9+0.32*3+1.2*3+43.2*2</f>
        <v>139.86000000000001</v>
      </c>
      <c r="E171" s="62" t="s">
        <v>47</v>
      </c>
      <c r="F171" s="78">
        <v>324.12</v>
      </c>
      <c r="G171" s="94">
        <f t="shared" si="20"/>
        <v>413.933652</v>
      </c>
      <c r="H171" s="94">
        <f t="shared" ref="H171:H181" si="22">D171*G171</f>
        <v>57892.760568720005</v>
      </c>
    </row>
    <row r="172" spans="1:8" s="32" customFormat="1">
      <c r="A172" s="379" t="s">
        <v>165</v>
      </c>
      <c r="B172" s="103" t="s">
        <v>188</v>
      </c>
      <c r="C172" s="77" t="s">
        <v>285</v>
      </c>
      <c r="D172" s="74">
        <f>(4.2+1+5.5+1+0.7+4.9+1+1+1.65+4.55)*3+(1.3+23.2)*2+5.6*2+5.6*3+18.9+15.4+3.6*3+47</f>
        <v>245.60000000000002</v>
      </c>
      <c r="E172" s="62" t="s">
        <v>47</v>
      </c>
      <c r="F172" s="78">
        <v>149.79</v>
      </c>
      <c r="G172" s="94">
        <f t="shared" si="20"/>
        <v>191.29680899999997</v>
      </c>
      <c r="H172" s="94">
        <f t="shared" si="22"/>
        <v>46982.496290399999</v>
      </c>
    </row>
    <row r="173" spans="1:8" s="32" customFormat="1">
      <c r="A173" s="379" t="s">
        <v>168</v>
      </c>
      <c r="B173" s="103" t="s">
        <v>32</v>
      </c>
      <c r="C173" s="77" t="s">
        <v>286</v>
      </c>
      <c r="D173" s="74">
        <f>7.1+(4.9+4.2+3.5+3.7+4.7+3.5+3.5+3.5+4.6+10.3+6.2+3.5+8.3+9.1+3.5+3.5+3.5+3.5+3.5+3.5)*3</f>
        <v>290.60000000000002</v>
      </c>
      <c r="E173" s="62" t="s">
        <v>47</v>
      </c>
      <c r="F173" s="78">
        <v>91.39</v>
      </c>
      <c r="G173" s="94">
        <f t="shared" si="20"/>
        <v>116.714169</v>
      </c>
      <c r="H173" s="94">
        <f t="shared" si="22"/>
        <v>33917.137511400004</v>
      </c>
    </row>
    <row r="174" spans="1:8" s="32" customFormat="1">
      <c r="A174" s="379" t="s">
        <v>170</v>
      </c>
      <c r="B174" s="103">
        <v>92290</v>
      </c>
      <c r="C174" s="77" t="s">
        <v>287</v>
      </c>
      <c r="D174" s="74">
        <v>15</v>
      </c>
      <c r="E174" s="62" t="s">
        <v>288</v>
      </c>
      <c r="F174" s="78">
        <v>83.27</v>
      </c>
      <c r="G174" s="94">
        <f t="shared" si="20"/>
        <v>106.34411699999998</v>
      </c>
      <c r="H174" s="94">
        <f t="shared" si="22"/>
        <v>1595.1617549999996</v>
      </c>
    </row>
    <row r="175" spans="1:8" s="32" customFormat="1">
      <c r="A175" s="379" t="s">
        <v>173</v>
      </c>
      <c r="B175" s="103">
        <v>92287</v>
      </c>
      <c r="C175" s="77" t="s">
        <v>289</v>
      </c>
      <c r="D175" s="74">
        <v>55</v>
      </c>
      <c r="E175" s="62" t="s">
        <v>288</v>
      </c>
      <c r="F175" s="78">
        <v>19.46</v>
      </c>
      <c r="G175" s="94">
        <f t="shared" si="20"/>
        <v>24.852366</v>
      </c>
      <c r="H175" s="94">
        <f t="shared" si="22"/>
        <v>1366.88013</v>
      </c>
    </row>
    <row r="176" spans="1:8" s="32" customFormat="1">
      <c r="A176" s="379" t="s">
        <v>176</v>
      </c>
      <c r="B176" s="103">
        <v>92311</v>
      </c>
      <c r="C176" s="77" t="s">
        <v>290</v>
      </c>
      <c r="D176" s="74">
        <v>110</v>
      </c>
      <c r="E176" s="62" t="s">
        <v>288</v>
      </c>
      <c r="F176" s="78">
        <v>12.91</v>
      </c>
      <c r="G176" s="94">
        <f t="shared" si="20"/>
        <v>16.487361</v>
      </c>
      <c r="H176" s="94">
        <f t="shared" si="22"/>
        <v>1813.60971</v>
      </c>
    </row>
    <row r="177" spans="1:8" s="32" customFormat="1">
      <c r="A177" s="379" t="s">
        <v>178</v>
      </c>
      <c r="B177" s="103">
        <v>92299</v>
      </c>
      <c r="C177" s="77" t="s">
        <v>291</v>
      </c>
      <c r="D177" s="74">
        <v>33</v>
      </c>
      <c r="E177" s="62" t="s">
        <v>288</v>
      </c>
      <c r="F177" s="78">
        <v>25.64</v>
      </c>
      <c r="G177" s="94">
        <f t="shared" si="20"/>
        <v>32.744844000000001</v>
      </c>
      <c r="H177" s="94">
        <f t="shared" si="22"/>
        <v>1080.5798520000001</v>
      </c>
    </row>
    <row r="178" spans="1:8" s="32" customFormat="1">
      <c r="A178" s="379" t="s">
        <v>181</v>
      </c>
      <c r="B178" s="103">
        <v>92317</v>
      </c>
      <c r="C178" s="77" t="s">
        <v>292</v>
      </c>
      <c r="D178" s="74">
        <v>17</v>
      </c>
      <c r="E178" s="62" t="s">
        <v>288</v>
      </c>
      <c r="F178" s="78">
        <v>17.600000000000001</v>
      </c>
      <c r="G178" s="94">
        <f t="shared" si="20"/>
        <v>22.476960000000002</v>
      </c>
      <c r="H178" s="94">
        <f t="shared" si="22"/>
        <v>382.10832000000005</v>
      </c>
    </row>
    <row r="179" spans="1:8" s="32" customFormat="1">
      <c r="A179" s="379" t="s">
        <v>184</v>
      </c>
      <c r="B179" s="62">
        <v>93065</v>
      </c>
      <c r="C179" s="77" t="s">
        <v>293</v>
      </c>
      <c r="D179" s="74">
        <v>4</v>
      </c>
      <c r="E179" s="62" t="s">
        <v>288</v>
      </c>
      <c r="F179" s="78">
        <v>51.68</v>
      </c>
      <c r="G179" s="94">
        <f t="shared" si="20"/>
        <v>66.000527999999989</v>
      </c>
      <c r="H179" s="94">
        <f t="shared" si="22"/>
        <v>264.00211199999995</v>
      </c>
    </row>
    <row r="180" spans="1:8" s="32" customFormat="1">
      <c r="A180" s="379" t="s">
        <v>186</v>
      </c>
      <c r="B180" s="103">
        <v>93051</v>
      </c>
      <c r="C180" s="111" t="s">
        <v>294</v>
      </c>
      <c r="D180" s="74">
        <v>35</v>
      </c>
      <c r="E180" s="62" t="s">
        <v>288</v>
      </c>
      <c r="F180" s="78">
        <v>11.55</v>
      </c>
      <c r="G180" s="94">
        <f t="shared" si="20"/>
        <v>14.750505</v>
      </c>
      <c r="H180" s="94">
        <f t="shared" si="22"/>
        <v>516.26767500000005</v>
      </c>
    </row>
    <row r="181" spans="1:8" s="32" customFormat="1">
      <c r="A181" s="379" t="s">
        <v>187</v>
      </c>
      <c r="B181" s="62">
        <v>95250</v>
      </c>
      <c r="C181" s="112" t="s">
        <v>295</v>
      </c>
      <c r="D181" s="74">
        <v>6</v>
      </c>
      <c r="E181" s="62" t="s">
        <v>288</v>
      </c>
      <c r="F181" s="78">
        <v>96.99</v>
      </c>
      <c r="G181" s="94">
        <f t="shared" si="20"/>
        <v>123.86592899999998</v>
      </c>
      <c r="H181" s="94">
        <f t="shared" si="22"/>
        <v>743.19557399999985</v>
      </c>
    </row>
    <row r="182" spans="1:8" s="6" customFormat="1">
      <c r="A182" s="39"/>
      <c r="B182" s="40"/>
      <c r="C182" s="41" t="s">
        <v>19</v>
      </c>
      <c r="D182" s="80"/>
      <c r="E182" s="81"/>
      <c r="F182" s="82"/>
      <c r="G182" s="83"/>
      <c r="H182" s="44">
        <f>SUM(H171:H181)</f>
        <v>146554.19949852003</v>
      </c>
    </row>
    <row r="183" spans="1:8" s="27" customFormat="1">
      <c r="A183" s="46">
        <v>14</v>
      </c>
      <c r="B183" s="47"/>
      <c r="C183" s="397" t="s">
        <v>190</v>
      </c>
      <c r="D183" s="397"/>
      <c r="E183" s="397"/>
      <c r="F183" s="397"/>
      <c r="G183" s="397"/>
      <c r="H183" s="397"/>
    </row>
    <row r="184" spans="1:8" s="32" customFormat="1">
      <c r="A184" s="379" t="s">
        <v>191</v>
      </c>
      <c r="B184" s="103" t="s">
        <v>296</v>
      </c>
      <c r="C184" s="77" t="s">
        <v>297</v>
      </c>
      <c r="D184" s="74">
        <f>40*8</f>
        <v>320</v>
      </c>
      <c r="E184" s="62" t="s">
        <v>298</v>
      </c>
      <c r="F184" s="78">
        <v>114.57</v>
      </c>
      <c r="G184" s="94">
        <f t="shared" ref="G184:G185" si="23">F184*1.2771</f>
        <v>146.31734699999998</v>
      </c>
      <c r="H184" s="94">
        <f>D184*G184</f>
        <v>46821.551039999991</v>
      </c>
    </row>
    <row r="185" spans="1:8" s="32" customFormat="1">
      <c r="A185" s="379" t="s">
        <v>680</v>
      </c>
      <c r="B185" s="103" t="s">
        <v>299</v>
      </c>
      <c r="C185" s="77" t="s">
        <v>300</v>
      </c>
      <c r="D185" s="74">
        <f>D184</f>
        <v>320</v>
      </c>
      <c r="E185" s="62" t="s">
        <v>298</v>
      </c>
      <c r="F185" s="78">
        <v>73.28</v>
      </c>
      <c r="G185" s="94">
        <f t="shared" si="23"/>
        <v>93.585887999999997</v>
      </c>
      <c r="H185" s="94">
        <f>D185*G185</f>
        <v>29947.48416</v>
      </c>
    </row>
    <row r="186" spans="1:8" s="27" customFormat="1">
      <c r="A186" s="39" t="s">
        <v>19</v>
      </c>
      <c r="B186" s="41"/>
      <c r="C186" s="50"/>
      <c r="D186" s="49"/>
      <c r="E186" s="41"/>
      <c r="F186" s="42"/>
      <c r="G186" s="43"/>
      <c r="H186" s="44">
        <f>SUM(H184:H185)</f>
        <v>76769.035199999984</v>
      </c>
    </row>
    <row r="187" spans="1:8">
      <c r="A187" s="398" t="s">
        <v>193</v>
      </c>
      <c r="B187" s="398"/>
      <c r="C187" s="398"/>
      <c r="D187" s="84"/>
      <c r="E187" s="85"/>
      <c r="F187" s="86"/>
      <c r="G187" s="87"/>
      <c r="H187" s="88">
        <f>+H16+H22+H28+H31+H35+H40+H50+H53+H81+H146+H158+H169+H182+H186</f>
        <v>791973.76067052735</v>
      </c>
    </row>
    <row r="188" spans="1:8">
      <c r="H188" s="89" t="s">
        <v>301</v>
      </c>
    </row>
    <row r="192" spans="1:8">
      <c r="B192" s="381" t="s">
        <v>683</v>
      </c>
      <c r="C192" s="381"/>
      <c r="D192" s="381"/>
      <c r="F192" s="382" t="s">
        <v>683</v>
      </c>
      <c r="G192" s="382"/>
      <c r="H192" s="382"/>
    </row>
    <row r="193" spans="2:8">
      <c r="B193" s="381" t="s">
        <v>686</v>
      </c>
      <c r="C193" s="381"/>
      <c r="D193" s="381"/>
      <c r="F193" s="382" t="s">
        <v>685</v>
      </c>
      <c r="G193" s="382"/>
      <c r="H193" s="382"/>
    </row>
    <row r="194" spans="2:8">
      <c r="B194" s="381" t="s">
        <v>687</v>
      </c>
      <c r="C194" s="381"/>
      <c r="D194" s="381"/>
      <c r="F194" s="382" t="s">
        <v>684</v>
      </c>
      <c r="G194" s="382"/>
      <c r="H194" s="382"/>
    </row>
  </sheetData>
  <mergeCells count="38">
    <mergeCell ref="C183:H183"/>
    <mergeCell ref="A187:C187"/>
    <mergeCell ref="A16:G16"/>
    <mergeCell ref="A22:G22"/>
    <mergeCell ref="A28:G28"/>
    <mergeCell ref="A31:G31"/>
    <mergeCell ref="A35:G35"/>
    <mergeCell ref="A40:G40"/>
    <mergeCell ref="A50:G50"/>
    <mergeCell ref="A53:G53"/>
    <mergeCell ref="C82:H82"/>
    <mergeCell ref="C116:H116"/>
    <mergeCell ref="C130:H130"/>
    <mergeCell ref="C147:H147"/>
    <mergeCell ref="C159:H159"/>
    <mergeCell ref="C51:H51"/>
    <mergeCell ref="C64:H64"/>
    <mergeCell ref="C23:H23"/>
    <mergeCell ref="C29:H29"/>
    <mergeCell ref="C32:H32"/>
    <mergeCell ref="C36:H36"/>
    <mergeCell ref="C41:H41"/>
    <mergeCell ref="F192:H192"/>
    <mergeCell ref="F193:H193"/>
    <mergeCell ref="F194:H194"/>
    <mergeCell ref="B2:C2"/>
    <mergeCell ref="B3:H3"/>
    <mergeCell ref="B4:H4"/>
    <mergeCell ref="B5:C5"/>
    <mergeCell ref="B6:G6"/>
    <mergeCell ref="B7:C7"/>
    <mergeCell ref="B8:C8"/>
    <mergeCell ref="B9:C9"/>
    <mergeCell ref="B10:C10"/>
    <mergeCell ref="A11:H11"/>
    <mergeCell ref="C54:H54"/>
    <mergeCell ref="C55:H55"/>
    <mergeCell ref="C60:H60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56" firstPageNumber="0" fitToHeight="10" orientation="landscape" horizontalDpi="300" verticalDpi="300" r:id="rId1"/>
  <colBreaks count="1" manualBreakCount="1">
    <brk id="8" max="1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topLeftCell="A4" workbookViewId="0">
      <selection activeCell="F57" sqref="F57"/>
    </sheetView>
  </sheetViews>
  <sheetFormatPr defaultRowHeight="15"/>
  <cols>
    <col min="1" max="1" width="11.28515625" bestFit="1" customWidth="1"/>
    <col min="2" max="2" width="32.5703125" bestFit="1" customWidth="1"/>
    <col min="3" max="3" width="9.28515625" bestFit="1" customWidth="1"/>
    <col min="4" max="4" width="16" customWidth="1"/>
  </cols>
  <sheetData>
    <row r="1" spans="1:4">
      <c r="A1" s="407" t="s">
        <v>497</v>
      </c>
      <c r="B1" s="408"/>
      <c r="C1" s="408"/>
      <c r="D1" s="409"/>
    </row>
    <row r="2" spans="1:4">
      <c r="A2" s="222"/>
      <c r="B2" s="223"/>
      <c r="C2" s="223"/>
      <c r="D2" s="224"/>
    </row>
    <row r="3" spans="1:4">
      <c r="A3" s="225" t="s">
        <v>498</v>
      </c>
      <c r="B3" s="226" t="s">
        <v>499</v>
      </c>
      <c r="C3" s="226" t="s">
        <v>500</v>
      </c>
      <c r="D3" s="227" t="s">
        <v>501</v>
      </c>
    </row>
    <row r="4" spans="1:4">
      <c r="A4" s="222"/>
      <c r="B4" s="223"/>
      <c r="C4" s="228"/>
      <c r="D4" s="229"/>
    </row>
    <row r="5" spans="1:4">
      <c r="A5" s="230" t="s">
        <v>502</v>
      </c>
      <c r="B5" s="223"/>
      <c r="C5" s="223"/>
      <c r="D5" s="231"/>
    </row>
    <row r="6" spans="1:4">
      <c r="A6" s="222"/>
      <c r="B6" s="223"/>
      <c r="C6" s="223"/>
      <c r="D6" s="224"/>
    </row>
    <row r="7" spans="1:4">
      <c r="A7" s="222" t="s">
        <v>503</v>
      </c>
      <c r="B7" s="223" t="s">
        <v>504</v>
      </c>
      <c r="C7" s="232">
        <v>0</v>
      </c>
      <c r="D7" s="233">
        <v>0</v>
      </c>
    </row>
    <row r="8" spans="1:4">
      <c r="A8" s="222" t="s">
        <v>505</v>
      </c>
      <c r="B8" s="223" t="s">
        <v>506</v>
      </c>
      <c r="C8" s="232">
        <v>1.4999999999999999E-2</v>
      </c>
      <c r="D8" s="233">
        <v>1.4999999999999999E-2</v>
      </c>
    </row>
    <row r="9" spans="1:4">
      <c r="A9" s="222" t="s">
        <v>507</v>
      </c>
      <c r="B9" s="223" t="s">
        <v>508</v>
      </c>
      <c r="C9" s="232">
        <v>0.01</v>
      </c>
      <c r="D9" s="233">
        <v>0.01</v>
      </c>
    </row>
    <row r="10" spans="1:4">
      <c r="A10" s="222" t="s">
        <v>509</v>
      </c>
      <c r="B10" s="223" t="s">
        <v>510</v>
      </c>
      <c r="C10" s="232">
        <v>2E-3</v>
      </c>
      <c r="D10" s="233">
        <v>2E-3</v>
      </c>
    </row>
    <row r="11" spans="1:4">
      <c r="A11" s="222" t="s">
        <v>511</v>
      </c>
      <c r="B11" s="223" t="s">
        <v>512</v>
      </c>
      <c r="C11" s="232">
        <v>6.0000000000000001E-3</v>
      </c>
      <c r="D11" s="233">
        <v>6.0000000000000001E-3</v>
      </c>
    </row>
    <row r="12" spans="1:4">
      <c r="A12" s="222" t="s">
        <v>513</v>
      </c>
      <c r="B12" s="223" t="s">
        <v>514</v>
      </c>
      <c r="C12" s="232">
        <v>2.5000000000000001E-2</v>
      </c>
      <c r="D12" s="233">
        <v>2.5000000000000001E-2</v>
      </c>
    </row>
    <row r="13" spans="1:4">
      <c r="A13" s="222" t="s">
        <v>515</v>
      </c>
      <c r="B13" s="223" t="s">
        <v>516</v>
      </c>
      <c r="C13" s="232">
        <v>0.03</v>
      </c>
      <c r="D13" s="233">
        <v>0.03</v>
      </c>
    </row>
    <row r="14" spans="1:4">
      <c r="A14" s="222" t="s">
        <v>517</v>
      </c>
      <c r="B14" s="223" t="s">
        <v>518</v>
      </c>
      <c r="C14" s="232">
        <v>0.08</v>
      </c>
      <c r="D14" s="233">
        <v>0.08</v>
      </c>
    </row>
    <row r="15" spans="1:4">
      <c r="A15" s="222" t="s">
        <v>519</v>
      </c>
      <c r="B15" s="223" t="s">
        <v>520</v>
      </c>
      <c r="C15" s="232">
        <v>0</v>
      </c>
      <c r="D15" s="233">
        <v>0</v>
      </c>
    </row>
    <row r="16" spans="1:4">
      <c r="A16" s="222"/>
      <c r="B16" s="234" t="s">
        <v>521</v>
      </c>
      <c r="C16" s="235">
        <f>SUM(C7:C15)</f>
        <v>0.16799999999999998</v>
      </c>
      <c r="D16" s="236">
        <f>SUM(D7:D15)</f>
        <v>0.16799999999999998</v>
      </c>
    </row>
    <row r="17" spans="1:4">
      <c r="A17" s="222"/>
      <c r="B17" s="223"/>
      <c r="C17" s="232"/>
      <c r="D17" s="233"/>
    </row>
    <row r="18" spans="1:4">
      <c r="A18" s="222"/>
      <c r="B18" s="223"/>
      <c r="C18" s="232"/>
      <c r="D18" s="233"/>
    </row>
    <row r="19" spans="1:4">
      <c r="A19" s="230" t="s">
        <v>522</v>
      </c>
      <c r="B19" s="223"/>
      <c r="C19" s="232"/>
      <c r="D19" s="233"/>
    </row>
    <row r="20" spans="1:4">
      <c r="A20" s="222"/>
      <c r="B20" s="223"/>
      <c r="C20" s="232"/>
      <c r="D20" s="233"/>
    </row>
    <row r="21" spans="1:4">
      <c r="A21" s="222" t="s">
        <v>523</v>
      </c>
      <c r="B21" s="223" t="s">
        <v>524</v>
      </c>
      <c r="C21" s="232">
        <v>0.17929999999999999</v>
      </c>
      <c r="D21" s="233" t="s">
        <v>525</v>
      </c>
    </row>
    <row r="22" spans="1:4">
      <c r="A22" s="222" t="s">
        <v>526</v>
      </c>
      <c r="B22" s="223" t="s">
        <v>527</v>
      </c>
      <c r="C22" s="232">
        <v>4.24E-2</v>
      </c>
      <c r="D22" s="233" t="s">
        <v>525</v>
      </c>
    </row>
    <row r="23" spans="1:4">
      <c r="A23" s="222" t="s">
        <v>528</v>
      </c>
      <c r="B23" s="223" t="s">
        <v>529</v>
      </c>
      <c r="C23" s="232">
        <v>8.6999999999999994E-3</v>
      </c>
      <c r="D23" s="233">
        <v>6.7000000000000002E-3</v>
      </c>
    </row>
    <row r="24" spans="1:4">
      <c r="A24" s="222" t="s">
        <v>530</v>
      </c>
      <c r="B24" s="223" t="s">
        <v>531</v>
      </c>
      <c r="C24" s="232">
        <v>0.10780000000000001</v>
      </c>
      <c r="D24" s="233">
        <v>8.3299999999999999E-2</v>
      </c>
    </row>
    <row r="25" spans="1:4">
      <c r="A25" s="222" t="s">
        <v>532</v>
      </c>
      <c r="B25" s="223" t="s">
        <v>533</v>
      </c>
      <c r="C25" s="232">
        <v>6.9999999999999999E-4</v>
      </c>
      <c r="D25" s="233">
        <v>5.9999999999999995E-4</v>
      </c>
    </row>
    <row r="26" spans="1:4">
      <c r="A26" s="222" t="s">
        <v>534</v>
      </c>
      <c r="B26" s="223" t="s">
        <v>535</v>
      </c>
      <c r="C26" s="232">
        <v>7.1999999999999998E-3</v>
      </c>
      <c r="D26" s="233">
        <v>5.5999999999999999E-3</v>
      </c>
    </row>
    <row r="27" spans="1:4">
      <c r="A27" s="222" t="s">
        <v>536</v>
      </c>
      <c r="B27" s="223" t="s">
        <v>537</v>
      </c>
      <c r="C27" s="232">
        <v>1.5299999999999999E-2</v>
      </c>
      <c r="D27" s="233" t="s">
        <v>525</v>
      </c>
    </row>
    <row r="28" spans="1:4">
      <c r="A28" s="222" t="s">
        <v>538</v>
      </c>
      <c r="B28" s="223" t="s">
        <v>539</v>
      </c>
      <c r="C28" s="232">
        <v>1.1000000000000001E-3</v>
      </c>
      <c r="D28" s="233">
        <v>8.0000000000000004E-4</v>
      </c>
    </row>
    <row r="29" spans="1:4">
      <c r="A29" s="222" t="s">
        <v>540</v>
      </c>
      <c r="B29" s="223" t="s">
        <v>541</v>
      </c>
      <c r="C29" s="232">
        <v>7.7399999999999997E-2</v>
      </c>
      <c r="D29" s="233">
        <v>5.9799999999999999E-2</v>
      </c>
    </row>
    <row r="30" spans="1:4">
      <c r="A30" s="222" t="s">
        <v>542</v>
      </c>
      <c r="B30" s="223" t="s">
        <v>543</v>
      </c>
      <c r="C30" s="232">
        <v>2.9999999999999997E-4</v>
      </c>
      <c r="D30" s="233">
        <v>2.9999999999999997E-4</v>
      </c>
    </row>
    <row r="31" spans="1:4">
      <c r="A31" s="222"/>
      <c r="B31" s="234" t="s">
        <v>544</v>
      </c>
      <c r="C31" s="235">
        <f>SUM(C21:C30)</f>
        <v>0.44019999999999998</v>
      </c>
      <c r="D31" s="236">
        <f>SUM(D21:D30)</f>
        <v>0.15709999999999999</v>
      </c>
    </row>
    <row r="32" spans="1:4">
      <c r="A32" s="222"/>
      <c r="B32" s="223"/>
      <c r="C32" s="232"/>
      <c r="D32" s="233"/>
    </row>
    <row r="33" spans="1:4">
      <c r="A33" s="222"/>
      <c r="B33" s="223"/>
      <c r="C33" s="232"/>
      <c r="D33" s="233"/>
    </row>
    <row r="34" spans="1:4">
      <c r="A34" s="230" t="s">
        <v>545</v>
      </c>
      <c r="B34" s="223"/>
      <c r="C34" s="232"/>
      <c r="D34" s="233"/>
    </row>
    <row r="35" spans="1:4">
      <c r="A35" s="222"/>
      <c r="B35" s="223"/>
      <c r="C35" s="232"/>
      <c r="D35" s="233"/>
    </row>
    <row r="36" spans="1:4">
      <c r="A36" s="222" t="s">
        <v>546</v>
      </c>
      <c r="B36" s="223" t="s">
        <v>547</v>
      </c>
      <c r="C36" s="232">
        <v>4.4900000000000002E-2</v>
      </c>
      <c r="D36" s="233">
        <v>3.4700000000000002E-2</v>
      </c>
    </row>
    <row r="37" spans="1:4">
      <c r="A37" s="222" t="s">
        <v>548</v>
      </c>
      <c r="B37" s="223" t="s">
        <v>549</v>
      </c>
      <c r="C37" s="232">
        <v>1.1000000000000001E-3</v>
      </c>
      <c r="D37" s="233">
        <v>8.0000000000000004E-4</v>
      </c>
    </row>
    <row r="38" spans="1:4">
      <c r="A38" s="222" t="s">
        <v>550</v>
      </c>
      <c r="B38" s="223" t="s">
        <v>551</v>
      </c>
      <c r="C38" s="232">
        <v>5.0500000000000003E-2</v>
      </c>
      <c r="D38" s="233">
        <v>3.9E-2</v>
      </c>
    </row>
    <row r="39" spans="1:4">
      <c r="A39" s="222" t="s">
        <v>552</v>
      </c>
      <c r="B39" s="223" t="s">
        <v>553</v>
      </c>
      <c r="C39" s="232">
        <v>3.6499999999999998E-2</v>
      </c>
      <c r="D39" s="233">
        <v>2.8199999999999999E-2</v>
      </c>
    </row>
    <row r="40" spans="1:4">
      <c r="A40" s="222" t="s">
        <v>554</v>
      </c>
      <c r="B40" s="223" t="s">
        <v>555</v>
      </c>
      <c r="C40" s="232">
        <v>3.8E-3</v>
      </c>
      <c r="D40" s="233">
        <v>2.8999999999999998E-3</v>
      </c>
    </row>
    <row r="41" spans="1:4">
      <c r="A41" s="222"/>
      <c r="B41" s="234" t="s">
        <v>544</v>
      </c>
      <c r="C41" s="235">
        <f>SUM(C36:C40)</f>
        <v>0.1368</v>
      </c>
      <c r="D41" s="236">
        <f>SUM(D36:D40)</f>
        <v>0.10560000000000001</v>
      </c>
    </row>
    <row r="42" spans="1:4">
      <c r="A42" s="222"/>
      <c r="B42" s="223"/>
      <c r="C42" s="232"/>
      <c r="D42" s="233"/>
    </row>
    <row r="43" spans="1:4">
      <c r="A43" s="222"/>
      <c r="B43" s="223"/>
      <c r="C43" s="232"/>
      <c r="D43" s="233"/>
    </row>
    <row r="44" spans="1:4">
      <c r="A44" s="230" t="s">
        <v>556</v>
      </c>
      <c r="B44" s="223"/>
      <c r="C44" s="232"/>
      <c r="D44" s="233"/>
    </row>
    <row r="45" spans="1:4">
      <c r="A45" s="222"/>
      <c r="B45" s="223"/>
      <c r="C45" s="232"/>
      <c r="D45" s="233"/>
    </row>
    <row r="46" spans="1:4" ht="26.25">
      <c r="A46" s="222" t="s">
        <v>557</v>
      </c>
      <c r="B46" s="237" t="s">
        <v>558</v>
      </c>
      <c r="C46" s="232">
        <v>7.3999999999999996E-2</v>
      </c>
      <c r="D46" s="233">
        <v>2.64E-2</v>
      </c>
    </row>
    <row r="47" spans="1:4" ht="39">
      <c r="A47" s="238" t="s">
        <v>559</v>
      </c>
      <c r="B47" s="237" t="s">
        <v>560</v>
      </c>
      <c r="C47" s="239">
        <v>3.8E-3</v>
      </c>
      <c r="D47" s="240">
        <v>2.8999999999999998E-3</v>
      </c>
    </row>
    <row r="48" spans="1:4">
      <c r="A48" s="222"/>
      <c r="B48" s="234" t="s">
        <v>544</v>
      </c>
      <c r="C48" s="241">
        <f>SUM(C46:C47)</f>
        <v>7.7799999999999994E-2</v>
      </c>
      <c r="D48" s="242">
        <f>SUM(D46:D47)</f>
        <v>2.93E-2</v>
      </c>
    </row>
    <row r="49" spans="1:4">
      <c r="A49" s="222"/>
      <c r="B49" s="223"/>
      <c r="C49" s="241"/>
      <c r="D49" s="242"/>
    </row>
    <row r="50" spans="1:4">
      <c r="A50" s="222"/>
      <c r="B50" s="223"/>
      <c r="C50" s="228"/>
      <c r="D50" s="229"/>
    </row>
    <row r="51" spans="1:4" ht="15.75" thickBot="1">
      <c r="A51" s="410" t="s">
        <v>561</v>
      </c>
      <c r="B51" s="411"/>
      <c r="C51" s="243">
        <f>C48+C41+C31+C16</f>
        <v>0.82279999999999998</v>
      </c>
      <c r="D51" s="244">
        <f>D48+D41+D31+D16</f>
        <v>0.46</v>
      </c>
    </row>
  </sheetData>
  <mergeCells count="2">
    <mergeCell ref="A1:D1"/>
    <mergeCell ref="A51:B5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5"/>
  <sheetViews>
    <sheetView topLeftCell="A40" zoomScale="80" zoomScaleNormal="80" workbookViewId="0">
      <selection activeCell="F190" sqref="F190"/>
    </sheetView>
  </sheetViews>
  <sheetFormatPr defaultRowHeight="15"/>
  <cols>
    <col min="1" max="1" width="18.42578125" customWidth="1"/>
    <col min="2" max="2" width="11.7109375" customWidth="1"/>
    <col min="3" max="3" width="53.140625" customWidth="1"/>
    <col min="4" max="4" width="8.7109375" customWidth="1"/>
    <col min="5" max="5" width="10.7109375" customWidth="1"/>
    <col min="6" max="6" width="11.42578125"/>
    <col min="7" max="7" width="12" customWidth="1"/>
    <col min="8" max="1025" width="8.7109375" customWidth="1"/>
  </cols>
  <sheetData>
    <row r="1" spans="1:8" ht="15.75">
      <c r="C1" s="113" t="s">
        <v>302</v>
      </c>
    </row>
    <row r="2" spans="1:8" ht="33.75">
      <c r="A2" s="114" t="s">
        <v>34</v>
      </c>
      <c r="B2" s="115">
        <v>96358</v>
      </c>
      <c r="C2" s="116" t="s">
        <v>303</v>
      </c>
      <c r="D2" s="115" t="s">
        <v>16</v>
      </c>
      <c r="E2" s="117" t="s">
        <v>304</v>
      </c>
      <c r="F2" s="117" t="s">
        <v>305</v>
      </c>
      <c r="G2" s="118">
        <f>SUM(G3:G14)</f>
        <v>176.701447</v>
      </c>
      <c r="H2" s="119"/>
    </row>
    <row r="3" spans="1:8" ht="22.5">
      <c r="A3" s="120" t="s">
        <v>306</v>
      </c>
      <c r="B3" s="120" t="s">
        <v>307</v>
      </c>
      <c r="C3" s="121" t="s">
        <v>308</v>
      </c>
      <c r="D3" s="120" t="s">
        <v>309</v>
      </c>
      <c r="E3" s="122" t="s">
        <v>310</v>
      </c>
      <c r="F3" s="123">
        <v>47.42</v>
      </c>
      <c r="G3" s="123">
        <f t="shared" ref="G3:G14" si="0">E3*F3</f>
        <v>1.1523060000000001</v>
      </c>
      <c r="H3" s="119"/>
    </row>
    <row r="4" spans="1:8" ht="22.5">
      <c r="A4" s="124" t="s">
        <v>306</v>
      </c>
      <c r="B4" s="124">
        <v>39413</v>
      </c>
      <c r="C4" s="125" t="s">
        <v>311</v>
      </c>
      <c r="D4" s="124" t="s">
        <v>16</v>
      </c>
      <c r="E4" s="126" t="s">
        <v>312</v>
      </c>
      <c r="F4" s="127">
        <v>21.87</v>
      </c>
      <c r="G4" s="127">
        <f t="shared" si="0"/>
        <v>46.058219999999999</v>
      </c>
      <c r="H4" s="119"/>
    </row>
    <row r="5" spans="1:8" ht="33.75">
      <c r="A5" s="124" t="s">
        <v>306</v>
      </c>
      <c r="B5" s="124" t="s">
        <v>313</v>
      </c>
      <c r="C5" s="125" t="s">
        <v>314</v>
      </c>
      <c r="D5" s="124" t="s">
        <v>47</v>
      </c>
      <c r="E5" s="126" t="s">
        <v>315</v>
      </c>
      <c r="F5" s="127">
        <v>12.33</v>
      </c>
      <c r="G5" s="127">
        <f t="shared" si="0"/>
        <v>9.3757319999999993</v>
      </c>
      <c r="H5" s="119"/>
    </row>
    <row r="6" spans="1:8" ht="33.75">
      <c r="A6" s="124" t="s">
        <v>306</v>
      </c>
      <c r="B6" s="124" t="s">
        <v>316</v>
      </c>
      <c r="C6" s="125" t="s">
        <v>317</v>
      </c>
      <c r="D6" s="124" t="s">
        <v>47</v>
      </c>
      <c r="E6" s="126" t="s">
        <v>318</v>
      </c>
      <c r="F6" s="127">
        <v>13.99</v>
      </c>
      <c r="G6" s="127">
        <f t="shared" si="0"/>
        <v>27.854090000000003</v>
      </c>
      <c r="H6" s="119"/>
    </row>
    <row r="7" spans="1:8" ht="33.75">
      <c r="A7" s="124" t="s">
        <v>306</v>
      </c>
      <c r="B7" s="124" t="s">
        <v>319</v>
      </c>
      <c r="C7" s="125" t="s">
        <v>320</v>
      </c>
      <c r="D7" s="124" t="s">
        <v>47</v>
      </c>
      <c r="E7" s="126" t="s">
        <v>321</v>
      </c>
      <c r="F7" s="127">
        <v>0.34</v>
      </c>
      <c r="G7" s="127">
        <f t="shared" si="0"/>
        <v>0.85091800000000006</v>
      </c>
      <c r="H7" s="119"/>
    </row>
    <row r="8" spans="1:8" ht="22.5">
      <c r="A8" s="124" t="s">
        <v>306</v>
      </c>
      <c r="B8" s="124" t="s">
        <v>322</v>
      </c>
      <c r="C8" s="125" t="s">
        <v>323</v>
      </c>
      <c r="D8" s="124" t="s">
        <v>47</v>
      </c>
      <c r="E8" s="126" t="s">
        <v>324</v>
      </c>
      <c r="F8" s="127">
        <v>3.03</v>
      </c>
      <c r="G8" s="127">
        <f t="shared" si="0"/>
        <v>2.2443209999999998</v>
      </c>
      <c r="H8" s="119"/>
    </row>
    <row r="9" spans="1:8" ht="33.75">
      <c r="A9" s="124" t="s">
        <v>306</v>
      </c>
      <c r="B9" s="124" t="s">
        <v>325</v>
      </c>
      <c r="C9" s="125" t="s">
        <v>326</v>
      </c>
      <c r="D9" s="124" t="s">
        <v>202</v>
      </c>
      <c r="E9" s="126" t="s">
        <v>327</v>
      </c>
      <c r="F9" s="127">
        <v>3.79</v>
      </c>
      <c r="G9" s="127">
        <f t="shared" si="0"/>
        <v>3.9139329999999997</v>
      </c>
      <c r="H9" s="119"/>
    </row>
    <row r="10" spans="1:8" ht="22.5">
      <c r="A10" s="124" t="s">
        <v>306</v>
      </c>
      <c r="B10" s="124" t="s">
        <v>328</v>
      </c>
      <c r="C10" s="125" t="s">
        <v>329</v>
      </c>
      <c r="D10" s="124" t="s">
        <v>65</v>
      </c>
      <c r="E10" s="126" t="s">
        <v>330</v>
      </c>
      <c r="F10" s="127">
        <v>0.1</v>
      </c>
      <c r="G10" s="127">
        <f t="shared" si="0"/>
        <v>2.0007700000000002</v>
      </c>
      <c r="H10" s="119"/>
    </row>
    <row r="11" spans="1:8" ht="33.75">
      <c r="A11" s="124" t="s">
        <v>306</v>
      </c>
      <c r="B11" s="124" t="s">
        <v>331</v>
      </c>
      <c r="C11" s="125" t="s">
        <v>332</v>
      </c>
      <c r="D11" s="124" t="s">
        <v>65</v>
      </c>
      <c r="E11" s="126" t="s">
        <v>333</v>
      </c>
      <c r="F11" s="127">
        <v>0.25</v>
      </c>
      <c r="G11" s="127">
        <f t="shared" si="0"/>
        <v>0.2019</v>
      </c>
      <c r="H11" s="119"/>
    </row>
    <row r="12" spans="1:8" ht="22.5">
      <c r="A12" s="124" t="s">
        <v>334</v>
      </c>
      <c r="B12" s="124" t="s">
        <v>335</v>
      </c>
      <c r="C12" s="125" t="s">
        <v>336</v>
      </c>
      <c r="D12" s="124" t="s">
        <v>298</v>
      </c>
      <c r="E12" s="126" t="s">
        <v>337</v>
      </c>
      <c r="F12" s="127">
        <v>22.01</v>
      </c>
      <c r="G12" s="127">
        <f t="shared" si="0"/>
        <v>11.993249000000002</v>
      </c>
      <c r="H12" s="119"/>
    </row>
    <row r="13" spans="1:8">
      <c r="A13" s="124" t="s">
        <v>334</v>
      </c>
      <c r="B13" s="124" t="s">
        <v>338</v>
      </c>
      <c r="C13" s="125" t="s">
        <v>339</v>
      </c>
      <c r="D13" s="124" t="s">
        <v>298</v>
      </c>
      <c r="E13" s="126" t="s">
        <v>340</v>
      </c>
      <c r="F13" s="127">
        <v>18.84</v>
      </c>
      <c r="G13" s="127">
        <f t="shared" si="0"/>
        <v>2.5660079999999996</v>
      </c>
      <c r="H13" s="119"/>
    </row>
    <row r="14" spans="1:8" ht="22.5">
      <c r="A14" s="128" t="s">
        <v>306</v>
      </c>
      <c r="B14" s="128">
        <v>3413</v>
      </c>
      <c r="C14" s="129" t="s">
        <v>341</v>
      </c>
      <c r="D14" s="128" t="s">
        <v>16</v>
      </c>
      <c r="E14" s="130">
        <v>1</v>
      </c>
      <c r="F14" s="131">
        <v>68.489999999999995</v>
      </c>
      <c r="G14" s="131">
        <f t="shared" si="0"/>
        <v>68.489999999999995</v>
      </c>
      <c r="H14" s="132" t="s">
        <v>342</v>
      </c>
    </row>
    <row r="17" spans="1:7" ht="15.75">
      <c r="C17" s="113" t="s">
        <v>302</v>
      </c>
    </row>
    <row r="18" spans="1:7" ht="33.75">
      <c r="A18" s="114" t="s">
        <v>36</v>
      </c>
      <c r="B18" s="115">
        <v>96359</v>
      </c>
      <c r="C18" s="116" t="s">
        <v>343</v>
      </c>
      <c r="D18" s="115" t="s">
        <v>16</v>
      </c>
      <c r="E18" s="117" t="s">
        <v>304</v>
      </c>
      <c r="F18" s="117" t="s">
        <v>305</v>
      </c>
      <c r="G18" s="118">
        <f>SUM(G19:G30)</f>
        <v>193.88045100000002</v>
      </c>
    </row>
    <row r="19" spans="1:7" ht="22.5">
      <c r="A19" s="120" t="s">
        <v>306</v>
      </c>
      <c r="B19" s="120" t="s">
        <v>307</v>
      </c>
      <c r="C19" s="121" t="s">
        <v>308</v>
      </c>
      <c r="D19" s="120" t="s">
        <v>309</v>
      </c>
      <c r="E19" s="133">
        <v>2.9000000000000001E-2</v>
      </c>
      <c r="F19" s="123">
        <v>47.42</v>
      </c>
      <c r="G19" s="123">
        <f t="shared" ref="G19:G30" si="1">E19*F19</f>
        <v>1.3751800000000001</v>
      </c>
    </row>
    <row r="20" spans="1:7" ht="22.5">
      <c r="A20" s="124" t="s">
        <v>306</v>
      </c>
      <c r="B20" s="124">
        <v>39413</v>
      </c>
      <c r="C20" s="125" t="s">
        <v>311</v>
      </c>
      <c r="D20" s="124" t="s">
        <v>16</v>
      </c>
      <c r="E20" s="126" t="s">
        <v>312</v>
      </c>
      <c r="F20" s="127">
        <v>21.87</v>
      </c>
      <c r="G20" s="127">
        <f t="shared" si="1"/>
        <v>46.058219999999999</v>
      </c>
    </row>
    <row r="21" spans="1:7" ht="33.75">
      <c r="A21" s="124" t="s">
        <v>306</v>
      </c>
      <c r="B21" s="124" t="s">
        <v>313</v>
      </c>
      <c r="C21" s="125" t="s">
        <v>314</v>
      </c>
      <c r="D21" s="124" t="s">
        <v>47</v>
      </c>
      <c r="E21" s="126">
        <v>0.9093</v>
      </c>
      <c r="F21" s="127">
        <v>12.33</v>
      </c>
      <c r="G21" s="127">
        <f t="shared" si="1"/>
        <v>11.211669000000001</v>
      </c>
    </row>
    <row r="22" spans="1:7" ht="33.75">
      <c r="A22" s="124" t="s">
        <v>306</v>
      </c>
      <c r="B22" s="124" t="s">
        <v>316</v>
      </c>
      <c r="C22" s="125" t="s">
        <v>317</v>
      </c>
      <c r="D22" s="124" t="s">
        <v>47</v>
      </c>
      <c r="E22" s="126">
        <v>2.8999000000000001</v>
      </c>
      <c r="F22" s="127">
        <v>13.99</v>
      </c>
      <c r="G22" s="127">
        <f t="shared" si="1"/>
        <v>40.569601000000006</v>
      </c>
    </row>
    <row r="23" spans="1:7" ht="33.75">
      <c r="A23" s="124" t="s">
        <v>306</v>
      </c>
      <c r="B23" s="124" t="s">
        <v>319</v>
      </c>
      <c r="C23" s="125" t="s">
        <v>320</v>
      </c>
      <c r="D23" s="124" t="s">
        <v>47</v>
      </c>
      <c r="E23" s="126" t="s">
        <v>321</v>
      </c>
      <c r="F23" s="127">
        <v>0.34</v>
      </c>
      <c r="G23" s="127">
        <f t="shared" si="1"/>
        <v>0.85091800000000006</v>
      </c>
    </row>
    <row r="24" spans="1:7" ht="22.5">
      <c r="A24" s="124" t="s">
        <v>306</v>
      </c>
      <c r="B24" s="124" t="s">
        <v>322</v>
      </c>
      <c r="C24" s="125" t="s">
        <v>323</v>
      </c>
      <c r="D24" s="124" t="s">
        <v>47</v>
      </c>
      <c r="E24" s="134">
        <v>0.79249999999999998</v>
      </c>
      <c r="F24" s="127">
        <v>3.03</v>
      </c>
      <c r="G24" s="127">
        <f t="shared" si="1"/>
        <v>2.4012749999999996</v>
      </c>
    </row>
    <row r="25" spans="1:7" ht="33.75">
      <c r="A25" s="124" t="s">
        <v>306</v>
      </c>
      <c r="B25" s="124" t="s">
        <v>325</v>
      </c>
      <c r="C25" s="125" t="s">
        <v>326</v>
      </c>
      <c r="D25" s="124" t="s">
        <v>202</v>
      </c>
      <c r="E25" s="126" t="s">
        <v>327</v>
      </c>
      <c r="F25" s="127">
        <v>3.79</v>
      </c>
      <c r="G25" s="127">
        <f t="shared" si="1"/>
        <v>3.9139329999999997</v>
      </c>
    </row>
    <row r="26" spans="1:7" ht="22.5">
      <c r="A26" s="124" t="s">
        <v>306</v>
      </c>
      <c r="B26" s="124" t="s">
        <v>328</v>
      </c>
      <c r="C26" s="125" t="s">
        <v>329</v>
      </c>
      <c r="D26" s="124" t="s">
        <v>65</v>
      </c>
      <c r="E26" s="126" t="s">
        <v>330</v>
      </c>
      <c r="F26" s="127">
        <v>0.1</v>
      </c>
      <c r="G26" s="127">
        <f t="shared" si="1"/>
        <v>2.0007700000000002</v>
      </c>
    </row>
    <row r="27" spans="1:7" ht="33.75">
      <c r="A27" s="124" t="s">
        <v>306</v>
      </c>
      <c r="B27" s="124" t="s">
        <v>331</v>
      </c>
      <c r="C27" s="125" t="s">
        <v>332</v>
      </c>
      <c r="D27" s="124" t="s">
        <v>65</v>
      </c>
      <c r="E27" s="134">
        <v>0.91490000000000005</v>
      </c>
      <c r="F27" s="127">
        <v>0.25</v>
      </c>
      <c r="G27" s="127">
        <f t="shared" si="1"/>
        <v>0.22872500000000001</v>
      </c>
    </row>
    <row r="28" spans="1:7" ht="22.5">
      <c r="A28" s="124" t="s">
        <v>334</v>
      </c>
      <c r="B28" s="124" t="s">
        <v>335</v>
      </c>
      <c r="C28" s="125" t="s">
        <v>336</v>
      </c>
      <c r="D28" s="124" t="s">
        <v>298</v>
      </c>
      <c r="E28" s="134">
        <v>0.628</v>
      </c>
      <c r="F28" s="127">
        <v>22.01</v>
      </c>
      <c r="G28" s="127">
        <f t="shared" si="1"/>
        <v>13.822280000000001</v>
      </c>
    </row>
    <row r="29" spans="1:7">
      <c r="A29" s="124" t="s">
        <v>334</v>
      </c>
      <c r="B29" s="124" t="s">
        <v>338</v>
      </c>
      <c r="C29" s="125" t="s">
        <v>339</v>
      </c>
      <c r="D29" s="124" t="s">
        <v>298</v>
      </c>
      <c r="E29" s="134">
        <v>0.157</v>
      </c>
      <c r="F29" s="127">
        <v>18.84</v>
      </c>
      <c r="G29" s="127">
        <f t="shared" si="1"/>
        <v>2.9578799999999998</v>
      </c>
    </row>
    <row r="30" spans="1:7" ht="22.5">
      <c r="A30" s="124" t="s">
        <v>306</v>
      </c>
      <c r="B30" s="124">
        <v>3413</v>
      </c>
      <c r="C30" s="135" t="s">
        <v>341</v>
      </c>
      <c r="D30" s="124" t="s">
        <v>16</v>
      </c>
      <c r="E30" s="126">
        <v>1</v>
      </c>
      <c r="F30" s="131">
        <v>68.489999999999995</v>
      </c>
      <c r="G30" s="127">
        <f t="shared" si="1"/>
        <v>68.489999999999995</v>
      </c>
    </row>
    <row r="33" spans="1:8">
      <c r="C33" s="136" t="s">
        <v>344</v>
      </c>
    </row>
    <row r="34" spans="1:8" ht="15.75">
      <c r="C34" s="113" t="s">
        <v>302</v>
      </c>
    </row>
    <row r="35" spans="1:8" ht="45">
      <c r="A35" s="114" t="s">
        <v>38</v>
      </c>
      <c r="B35" s="115">
        <v>96358</v>
      </c>
      <c r="C35" s="137" t="s">
        <v>345</v>
      </c>
      <c r="D35" s="115" t="s">
        <v>16</v>
      </c>
      <c r="E35" s="117" t="s">
        <v>304</v>
      </c>
      <c r="F35" s="117" t="s">
        <v>305</v>
      </c>
      <c r="G35" s="118">
        <f>SUM(G36:G47)</f>
        <v>191.42238699999999</v>
      </c>
      <c r="H35" s="119"/>
    </row>
    <row r="36" spans="1:8" ht="22.5">
      <c r="A36" s="120" t="s">
        <v>306</v>
      </c>
      <c r="B36" s="120" t="s">
        <v>307</v>
      </c>
      <c r="C36" s="121" t="s">
        <v>308</v>
      </c>
      <c r="D36" s="120" t="s">
        <v>309</v>
      </c>
      <c r="E36" s="122" t="s">
        <v>310</v>
      </c>
      <c r="F36" s="123">
        <v>47.42</v>
      </c>
      <c r="G36" s="123">
        <f t="shared" ref="G36:G47" si="2">E36*F36</f>
        <v>1.1523060000000001</v>
      </c>
      <c r="H36" s="119"/>
    </row>
    <row r="37" spans="1:8" ht="33.75">
      <c r="A37" s="124" t="s">
        <v>306</v>
      </c>
      <c r="B37" s="138">
        <v>39417</v>
      </c>
      <c r="C37" s="139" t="s">
        <v>346</v>
      </c>
      <c r="D37" s="124" t="s">
        <v>16</v>
      </c>
      <c r="E37" s="126" t="s">
        <v>312</v>
      </c>
      <c r="F37" s="127">
        <v>28.86</v>
      </c>
      <c r="G37" s="127">
        <f t="shared" si="2"/>
        <v>60.779159999999997</v>
      </c>
      <c r="H37" s="119"/>
    </row>
    <row r="38" spans="1:8" ht="33.75">
      <c r="A38" s="124" t="s">
        <v>306</v>
      </c>
      <c r="B38" s="124" t="s">
        <v>313</v>
      </c>
      <c r="C38" s="125" t="s">
        <v>314</v>
      </c>
      <c r="D38" s="124" t="s">
        <v>47</v>
      </c>
      <c r="E38" s="126" t="s">
        <v>315</v>
      </c>
      <c r="F38" s="127">
        <v>12.33</v>
      </c>
      <c r="G38" s="127">
        <f t="shared" si="2"/>
        <v>9.3757319999999993</v>
      </c>
      <c r="H38" s="119"/>
    </row>
    <row r="39" spans="1:8" ht="33.75">
      <c r="A39" s="124" t="s">
        <v>306</v>
      </c>
      <c r="B39" s="124" t="s">
        <v>316</v>
      </c>
      <c r="C39" s="125" t="s">
        <v>317</v>
      </c>
      <c r="D39" s="124" t="s">
        <v>47</v>
      </c>
      <c r="E39" s="126" t="s">
        <v>318</v>
      </c>
      <c r="F39" s="127">
        <v>13.99</v>
      </c>
      <c r="G39" s="127">
        <f t="shared" si="2"/>
        <v>27.854090000000003</v>
      </c>
      <c r="H39" s="119"/>
    </row>
    <row r="40" spans="1:8" ht="33.75">
      <c r="A40" s="124" t="s">
        <v>306</v>
      </c>
      <c r="B40" s="124" t="s">
        <v>319</v>
      </c>
      <c r="C40" s="125" t="s">
        <v>320</v>
      </c>
      <c r="D40" s="124" t="s">
        <v>47</v>
      </c>
      <c r="E40" s="126" t="s">
        <v>321</v>
      </c>
      <c r="F40" s="127">
        <v>0.34</v>
      </c>
      <c r="G40" s="127">
        <f t="shared" si="2"/>
        <v>0.85091800000000006</v>
      </c>
      <c r="H40" s="119"/>
    </row>
    <row r="41" spans="1:8" ht="22.5">
      <c r="A41" s="124" t="s">
        <v>306</v>
      </c>
      <c r="B41" s="124" t="s">
        <v>322</v>
      </c>
      <c r="C41" s="125" t="s">
        <v>323</v>
      </c>
      <c r="D41" s="124" t="s">
        <v>47</v>
      </c>
      <c r="E41" s="126" t="s">
        <v>324</v>
      </c>
      <c r="F41" s="127">
        <v>3.03</v>
      </c>
      <c r="G41" s="127">
        <f t="shared" si="2"/>
        <v>2.2443209999999998</v>
      </c>
      <c r="H41" s="119"/>
    </row>
    <row r="42" spans="1:8" ht="33.75">
      <c r="A42" s="124" t="s">
        <v>306</v>
      </c>
      <c r="B42" s="124" t="s">
        <v>325</v>
      </c>
      <c r="C42" s="125" t="s">
        <v>326</v>
      </c>
      <c r="D42" s="124" t="s">
        <v>202</v>
      </c>
      <c r="E42" s="126" t="s">
        <v>327</v>
      </c>
      <c r="F42" s="127">
        <v>3.79</v>
      </c>
      <c r="G42" s="127">
        <f t="shared" si="2"/>
        <v>3.9139329999999997</v>
      </c>
      <c r="H42" s="119"/>
    </row>
    <row r="43" spans="1:8" ht="22.5">
      <c r="A43" s="124" t="s">
        <v>306</v>
      </c>
      <c r="B43" s="124" t="s">
        <v>328</v>
      </c>
      <c r="C43" s="125" t="s">
        <v>329</v>
      </c>
      <c r="D43" s="124" t="s">
        <v>65</v>
      </c>
      <c r="E43" s="126" t="s">
        <v>330</v>
      </c>
      <c r="F43" s="127">
        <v>0.1</v>
      </c>
      <c r="G43" s="127">
        <f t="shared" si="2"/>
        <v>2.0007700000000002</v>
      </c>
      <c r="H43" s="119"/>
    </row>
    <row r="44" spans="1:8" ht="33.75">
      <c r="A44" s="124" t="s">
        <v>306</v>
      </c>
      <c r="B44" s="124" t="s">
        <v>331</v>
      </c>
      <c r="C44" s="125" t="s">
        <v>332</v>
      </c>
      <c r="D44" s="124" t="s">
        <v>65</v>
      </c>
      <c r="E44" s="126" t="s">
        <v>333</v>
      </c>
      <c r="F44" s="127">
        <v>0.25</v>
      </c>
      <c r="G44" s="127">
        <f t="shared" si="2"/>
        <v>0.2019</v>
      </c>
      <c r="H44" s="119"/>
    </row>
    <row r="45" spans="1:8" ht="22.5">
      <c r="A45" s="124" t="s">
        <v>334</v>
      </c>
      <c r="B45" s="124" t="s">
        <v>335</v>
      </c>
      <c r="C45" s="125" t="s">
        <v>336</v>
      </c>
      <c r="D45" s="124" t="s">
        <v>298</v>
      </c>
      <c r="E45" s="126" t="s">
        <v>337</v>
      </c>
      <c r="F45" s="127">
        <v>22.01</v>
      </c>
      <c r="G45" s="127">
        <f t="shared" si="2"/>
        <v>11.993249000000002</v>
      </c>
      <c r="H45" s="119"/>
    </row>
    <row r="46" spans="1:8">
      <c r="A46" s="124" t="s">
        <v>334</v>
      </c>
      <c r="B46" s="124" t="s">
        <v>338</v>
      </c>
      <c r="C46" s="125" t="s">
        <v>339</v>
      </c>
      <c r="D46" s="124" t="s">
        <v>298</v>
      </c>
      <c r="E46" s="126" t="s">
        <v>340</v>
      </c>
      <c r="F46" s="127">
        <v>18.84</v>
      </c>
      <c r="G46" s="127">
        <f t="shared" si="2"/>
        <v>2.5660079999999996</v>
      </c>
      <c r="H46" s="119"/>
    </row>
    <row r="47" spans="1:8" ht="22.5">
      <c r="A47" s="128" t="s">
        <v>306</v>
      </c>
      <c r="B47" s="128">
        <v>3413</v>
      </c>
      <c r="C47" s="129" t="s">
        <v>341</v>
      </c>
      <c r="D47" s="128" t="s">
        <v>16</v>
      </c>
      <c r="E47" s="130">
        <v>1</v>
      </c>
      <c r="F47" s="131">
        <v>68.489999999999995</v>
      </c>
      <c r="G47" s="131">
        <f t="shared" si="2"/>
        <v>68.489999999999995</v>
      </c>
      <c r="H47" s="132" t="s">
        <v>342</v>
      </c>
    </row>
    <row r="50" spans="1:7">
      <c r="C50" s="136" t="s">
        <v>344</v>
      </c>
    </row>
    <row r="51" spans="1:7" ht="15.75">
      <c r="C51" s="113" t="s">
        <v>302</v>
      </c>
    </row>
    <row r="52" spans="1:7" ht="45">
      <c r="A52" s="114" t="s">
        <v>40</v>
      </c>
      <c r="B52" s="115" t="s">
        <v>347</v>
      </c>
      <c r="C52" s="137" t="s">
        <v>348</v>
      </c>
      <c r="D52" s="115" t="s">
        <v>16</v>
      </c>
      <c r="E52" s="117" t="s">
        <v>304</v>
      </c>
      <c r="F52" s="117" t="s">
        <v>305</v>
      </c>
      <c r="G52" s="118">
        <f>SUM(G53:G64)</f>
        <v>208.60139099999998</v>
      </c>
    </row>
    <row r="53" spans="1:7" ht="22.5">
      <c r="A53" s="120" t="s">
        <v>306</v>
      </c>
      <c r="B53" s="120" t="s">
        <v>307</v>
      </c>
      <c r="C53" s="121" t="s">
        <v>308</v>
      </c>
      <c r="D53" s="120" t="s">
        <v>309</v>
      </c>
      <c r="E53" s="133">
        <v>2.9000000000000001E-2</v>
      </c>
      <c r="F53" s="123">
        <v>47.42</v>
      </c>
      <c r="G53" s="123">
        <f t="shared" ref="G53:G64" si="3">E53*F53</f>
        <v>1.3751800000000001</v>
      </c>
    </row>
    <row r="54" spans="1:7" ht="33.75">
      <c r="A54" s="124" t="s">
        <v>306</v>
      </c>
      <c r="B54" s="138">
        <v>39417</v>
      </c>
      <c r="C54" s="139" t="s">
        <v>346</v>
      </c>
      <c r="D54" s="124" t="s">
        <v>16</v>
      </c>
      <c r="E54" s="126" t="s">
        <v>312</v>
      </c>
      <c r="F54" s="127">
        <v>28.86</v>
      </c>
      <c r="G54" s="127">
        <f t="shared" si="3"/>
        <v>60.779159999999997</v>
      </c>
    </row>
    <row r="55" spans="1:7" ht="33.75">
      <c r="A55" s="124" t="s">
        <v>306</v>
      </c>
      <c r="B55" s="124" t="s">
        <v>313</v>
      </c>
      <c r="C55" s="125" t="s">
        <v>314</v>
      </c>
      <c r="D55" s="124" t="s">
        <v>47</v>
      </c>
      <c r="E55" s="126">
        <v>0.9093</v>
      </c>
      <c r="F55" s="127">
        <v>12.33</v>
      </c>
      <c r="G55" s="127">
        <f t="shared" si="3"/>
        <v>11.211669000000001</v>
      </c>
    </row>
    <row r="56" spans="1:7" ht="33.75">
      <c r="A56" s="124" t="s">
        <v>306</v>
      </c>
      <c r="B56" s="124" t="s">
        <v>316</v>
      </c>
      <c r="C56" s="125" t="s">
        <v>317</v>
      </c>
      <c r="D56" s="124" t="s">
        <v>47</v>
      </c>
      <c r="E56" s="126">
        <v>2.8999000000000001</v>
      </c>
      <c r="F56" s="127">
        <v>13.99</v>
      </c>
      <c r="G56" s="127">
        <f t="shared" si="3"/>
        <v>40.569601000000006</v>
      </c>
    </row>
    <row r="57" spans="1:7" ht="33.75">
      <c r="A57" s="124" t="s">
        <v>306</v>
      </c>
      <c r="B57" s="124" t="s">
        <v>319</v>
      </c>
      <c r="C57" s="125" t="s">
        <v>320</v>
      </c>
      <c r="D57" s="124" t="s">
        <v>47</v>
      </c>
      <c r="E57" s="126" t="s">
        <v>321</v>
      </c>
      <c r="F57" s="127">
        <v>0.34</v>
      </c>
      <c r="G57" s="127">
        <f t="shared" si="3"/>
        <v>0.85091800000000006</v>
      </c>
    </row>
    <row r="58" spans="1:7" ht="22.5">
      <c r="A58" s="124" t="s">
        <v>306</v>
      </c>
      <c r="B58" s="124" t="s">
        <v>322</v>
      </c>
      <c r="C58" s="125" t="s">
        <v>323</v>
      </c>
      <c r="D58" s="124" t="s">
        <v>47</v>
      </c>
      <c r="E58" s="134">
        <v>0.79249999999999998</v>
      </c>
      <c r="F58" s="127">
        <v>3.03</v>
      </c>
      <c r="G58" s="127">
        <f t="shared" si="3"/>
        <v>2.4012749999999996</v>
      </c>
    </row>
    <row r="59" spans="1:7" ht="33.75">
      <c r="A59" s="124" t="s">
        <v>306</v>
      </c>
      <c r="B59" s="124" t="s">
        <v>325</v>
      </c>
      <c r="C59" s="125" t="s">
        <v>326</v>
      </c>
      <c r="D59" s="124" t="s">
        <v>202</v>
      </c>
      <c r="E59" s="126" t="s">
        <v>327</v>
      </c>
      <c r="F59" s="127">
        <v>3.79</v>
      </c>
      <c r="G59" s="127">
        <f t="shared" si="3"/>
        <v>3.9139329999999997</v>
      </c>
    </row>
    <row r="60" spans="1:7" ht="22.5">
      <c r="A60" s="124" t="s">
        <v>306</v>
      </c>
      <c r="B60" s="124" t="s">
        <v>328</v>
      </c>
      <c r="C60" s="125" t="s">
        <v>329</v>
      </c>
      <c r="D60" s="124" t="s">
        <v>65</v>
      </c>
      <c r="E60" s="126" t="s">
        <v>330</v>
      </c>
      <c r="F60" s="127">
        <v>0.1</v>
      </c>
      <c r="G60" s="127">
        <f t="shared" si="3"/>
        <v>2.0007700000000002</v>
      </c>
    </row>
    <row r="61" spans="1:7" ht="33.75">
      <c r="A61" s="124" t="s">
        <v>306</v>
      </c>
      <c r="B61" s="124" t="s">
        <v>331</v>
      </c>
      <c r="C61" s="125" t="s">
        <v>332</v>
      </c>
      <c r="D61" s="124" t="s">
        <v>65</v>
      </c>
      <c r="E61" s="134">
        <v>0.91490000000000005</v>
      </c>
      <c r="F61" s="127">
        <v>0.25</v>
      </c>
      <c r="G61" s="127">
        <f t="shared" si="3"/>
        <v>0.22872500000000001</v>
      </c>
    </row>
    <row r="62" spans="1:7" ht="22.5">
      <c r="A62" s="124" t="s">
        <v>334</v>
      </c>
      <c r="B62" s="124" t="s">
        <v>335</v>
      </c>
      <c r="C62" s="125" t="s">
        <v>336</v>
      </c>
      <c r="D62" s="124" t="s">
        <v>298</v>
      </c>
      <c r="E62" s="134">
        <v>0.628</v>
      </c>
      <c r="F62" s="127">
        <v>22.01</v>
      </c>
      <c r="G62" s="127">
        <f t="shared" si="3"/>
        <v>13.822280000000001</v>
      </c>
    </row>
    <row r="63" spans="1:7">
      <c r="A63" s="124" t="s">
        <v>334</v>
      </c>
      <c r="B63" s="124" t="s">
        <v>338</v>
      </c>
      <c r="C63" s="125" t="s">
        <v>339</v>
      </c>
      <c r="D63" s="124" t="s">
        <v>298</v>
      </c>
      <c r="E63" s="134">
        <v>0.157</v>
      </c>
      <c r="F63" s="127">
        <v>18.84</v>
      </c>
      <c r="G63" s="127">
        <f t="shared" si="3"/>
        <v>2.9578799999999998</v>
      </c>
    </row>
    <row r="64" spans="1:7" ht="22.5">
      <c r="A64" s="124" t="s">
        <v>306</v>
      </c>
      <c r="B64" s="124">
        <v>3413</v>
      </c>
      <c r="C64" s="135" t="s">
        <v>341</v>
      </c>
      <c r="D64" s="124" t="s">
        <v>16</v>
      </c>
      <c r="E64" s="126">
        <v>1</v>
      </c>
      <c r="F64" s="131">
        <v>68.489999999999995</v>
      </c>
      <c r="G64" s="127">
        <f t="shared" si="3"/>
        <v>68.489999999999995</v>
      </c>
    </row>
    <row r="67" spans="1:7" ht="33.75" customHeight="1">
      <c r="A67" s="140" t="s">
        <v>67</v>
      </c>
      <c r="B67" s="141"/>
      <c r="C67" s="125" t="s">
        <v>79</v>
      </c>
      <c r="D67" s="141" t="s">
        <v>65</v>
      </c>
      <c r="E67" s="142" t="s">
        <v>304</v>
      </c>
      <c r="F67" s="142" t="s">
        <v>305</v>
      </c>
      <c r="G67" s="143">
        <f>SUM(G68:G68)</f>
        <v>526.61</v>
      </c>
    </row>
    <row r="68" spans="1:7">
      <c r="A68" s="124" t="s">
        <v>334</v>
      </c>
      <c r="B68" s="144" t="s">
        <v>349</v>
      </c>
      <c r="C68" s="144" t="s">
        <v>350</v>
      </c>
      <c r="D68" s="145" t="s">
        <v>16</v>
      </c>
      <c r="E68" s="122">
        <v>1</v>
      </c>
      <c r="F68" s="146">
        <v>526.61</v>
      </c>
      <c r="G68" s="146">
        <f>+F68*E68</f>
        <v>526.61</v>
      </c>
    </row>
    <row r="71" spans="1:7" ht="15.75">
      <c r="C71" s="113" t="s">
        <v>351</v>
      </c>
    </row>
    <row r="72" spans="1:7" ht="68.25">
      <c r="A72" s="114" t="s">
        <v>69</v>
      </c>
      <c r="B72" s="115" t="s">
        <v>352</v>
      </c>
      <c r="C72" s="147" t="s">
        <v>353</v>
      </c>
      <c r="D72" s="140" t="s">
        <v>65</v>
      </c>
      <c r="E72" s="148" t="s">
        <v>304</v>
      </c>
      <c r="F72" s="148" t="s">
        <v>305</v>
      </c>
      <c r="G72" s="149">
        <f>SUM(G73:G74)</f>
        <v>1499.2640000000001</v>
      </c>
    </row>
    <row r="73" spans="1:7" ht="57">
      <c r="A73" s="124" t="s">
        <v>334</v>
      </c>
      <c r="B73" s="150">
        <v>90844</v>
      </c>
      <c r="C73" s="151" t="s">
        <v>354</v>
      </c>
      <c r="D73" s="124" t="s">
        <v>65</v>
      </c>
      <c r="E73" s="126">
        <v>1</v>
      </c>
      <c r="F73" s="152">
        <v>1184.9000000000001</v>
      </c>
      <c r="G73" s="127">
        <f>E73*F73</f>
        <v>1184.9000000000001</v>
      </c>
    </row>
    <row r="74" spans="1:7" ht="57">
      <c r="A74" s="124" t="s">
        <v>334</v>
      </c>
      <c r="B74" s="150" t="s">
        <v>355</v>
      </c>
      <c r="C74" s="153" t="s">
        <v>356</v>
      </c>
      <c r="D74" s="124" t="s">
        <v>16</v>
      </c>
      <c r="E74" s="154">
        <f>1*0.4</f>
        <v>0.4</v>
      </c>
      <c r="F74" s="152">
        <v>785.91</v>
      </c>
      <c r="G74" s="127">
        <f>E74*F74</f>
        <v>314.36400000000003</v>
      </c>
    </row>
    <row r="76" spans="1:7" ht="15.75">
      <c r="C76" s="113" t="s">
        <v>351</v>
      </c>
    </row>
    <row r="77" spans="1:7" ht="68.25">
      <c r="A77" s="114" t="s">
        <v>71</v>
      </c>
      <c r="B77" s="115" t="s">
        <v>352</v>
      </c>
      <c r="C77" s="147" t="s">
        <v>357</v>
      </c>
      <c r="D77" s="140" t="s">
        <v>65</v>
      </c>
      <c r="E77" s="148" t="s">
        <v>304</v>
      </c>
      <c r="F77" s="148" t="s">
        <v>305</v>
      </c>
      <c r="G77" s="149">
        <f>SUM(G78:G79)</f>
        <v>1530.7004000000002</v>
      </c>
    </row>
    <row r="78" spans="1:7" ht="57">
      <c r="A78" s="124" t="s">
        <v>334</v>
      </c>
      <c r="B78" s="150">
        <v>90844</v>
      </c>
      <c r="C78" s="151" t="s">
        <v>354</v>
      </c>
      <c r="D78" s="124" t="s">
        <v>65</v>
      </c>
      <c r="E78" s="126">
        <v>1</v>
      </c>
      <c r="F78" s="152">
        <v>1184.9000000000001</v>
      </c>
      <c r="G78" s="127">
        <f>E78*F78</f>
        <v>1184.9000000000001</v>
      </c>
    </row>
    <row r="79" spans="1:7" ht="57">
      <c r="A79" s="120" t="s">
        <v>334</v>
      </c>
      <c r="B79" s="150" t="s">
        <v>355</v>
      </c>
      <c r="C79" s="153" t="s">
        <v>356</v>
      </c>
      <c r="D79" s="124" t="s">
        <v>16</v>
      </c>
      <c r="E79" s="154">
        <f>1.1*0.4</f>
        <v>0.44000000000000006</v>
      </c>
      <c r="F79" s="152">
        <v>785.91</v>
      </c>
      <c r="G79" s="127">
        <f>E79*F79</f>
        <v>345.80040000000002</v>
      </c>
    </row>
    <row r="81" spans="1:7" ht="15.75">
      <c r="C81" s="113" t="s">
        <v>351</v>
      </c>
    </row>
    <row r="82" spans="1:7" ht="15.75">
      <c r="C82" s="113" t="s">
        <v>358</v>
      </c>
    </row>
    <row r="83" spans="1:7" ht="34.5">
      <c r="A83" s="140" t="s">
        <v>73</v>
      </c>
      <c r="B83" s="155"/>
      <c r="C83" s="156" t="s">
        <v>359</v>
      </c>
      <c r="D83" s="140" t="s">
        <v>65</v>
      </c>
      <c r="E83" s="142" t="s">
        <v>304</v>
      </c>
      <c r="F83" s="142" t="s">
        <v>305</v>
      </c>
      <c r="G83" s="143">
        <f>SUM(G84:G85)</f>
        <v>3242.3224</v>
      </c>
    </row>
    <row r="84" spans="1:7" ht="83.25" customHeight="1">
      <c r="A84" s="124" t="s">
        <v>334</v>
      </c>
      <c r="B84" s="120" t="s">
        <v>360</v>
      </c>
      <c r="C84" s="153" t="s">
        <v>361</v>
      </c>
      <c r="D84" s="124" t="s">
        <v>65</v>
      </c>
      <c r="E84" s="122">
        <v>2</v>
      </c>
      <c r="F84" s="146">
        <v>1369.67</v>
      </c>
      <c r="G84" s="146">
        <f>+F84*E84</f>
        <v>2739.34</v>
      </c>
    </row>
    <row r="85" spans="1:7" ht="57">
      <c r="A85" s="124" t="s">
        <v>334</v>
      </c>
      <c r="B85" s="150" t="s">
        <v>355</v>
      </c>
      <c r="C85" s="153" t="s">
        <v>356</v>
      </c>
      <c r="D85" s="124" t="s">
        <v>65</v>
      </c>
      <c r="E85" s="154">
        <f>1.6*0.4</f>
        <v>0.64000000000000012</v>
      </c>
      <c r="F85" s="146">
        <v>785.91</v>
      </c>
      <c r="G85" s="146">
        <f>+F85*E85</f>
        <v>502.9824000000001</v>
      </c>
    </row>
    <row r="88" spans="1:7" ht="15.75">
      <c r="C88" s="113" t="s">
        <v>351</v>
      </c>
    </row>
    <row r="89" spans="1:7" ht="15.75">
      <c r="C89" s="113" t="s">
        <v>358</v>
      </c>
    </row>
    <row r="90" spans="1:7" ht="34.5">
      <c r="A90" s="140" t="s">
        <v>75</v>
      </c>
      <c r="B90" s="155"/>
      <c r="C90" s="156" t="s">
        <v>362</v>
      </c>
      <c r="D90" s="140" t="s">
        <v>65</v>
      </c>
      <c r="E90" s="142" t="s">
        <v>304</v>
      </c>
      <c r="F90" s="142" t="s">
        <v>305</v>
      </c>
      <c r="G90" s="143">
        <f>SUM(G91:G92)</f>
        <v>3653.8508000000002</v>
      </c>
    </row>
    <row r="91" spans="1:7" ht="57">
      <c r="A91" s="124" t="s">
        <v>334</v>
      </c>
      <c r="B91" s="150">
        <v>90844</v>
      </c>
      <c r="C91" s="151" t="s">
        <v>354</v>
      </c>
      <c r="D91" s="124" t="s">
        <v>65</v>
      </c>
      <c r="E91" s="122">
        <v>2.5</v>
      </c>
      <c r="F91" s="146">
        <v>1184.9000000000001</v>
      </c>
      <c r="G91" s="146">
        <f>+F91*E91</f>
        <v>2962.25</v>
      </c>
    </row>
    <row r="92" spans="1:7" ht="57">
      <c r="A92" s="124" t="s">
        <v>334</v>
      </c>
      <c r="B92" s="150" t="s">
        <v>355</v>
      </c>
      <c r="C92" s="153" t="s">
        <v>356</v>
      </c>
      <c r="D92" s="124" t="s">
        <v>65</v>
      </c>
      <c r="E92" s="154">
        <f>2.2*0.4</f>
        <v>0.88000000000000012</v>
      </c>
      <c r="F92" s="146">
        <v>785.91</v>
      </c>
      <c r="G92" s="146">
        <f>+F92*E92</f>
        <v>691.60080000000005</v>
      </c>
    </row>
    <row r="95" spans="1:7" ht="75">
      <c r="A95" s="140" t="s">
        <v>77</v>
      </c>
      <c r="B95" s="141"/>
      <c r="C95" s="157" t="s">
        <v>363</v>
      </c>
      <c r="D95" s="141" t="s">
        <v>65</v>
      </c>
      <c r="E95" s="142" t="s">
        <v>304</v>
      </c>
      <c r="F95" s="142" t="s">
        <v>305</v>
      </c>
      <c r="G95" s="143">
        <f>SUM(G96:G96)</f>
        <v>453.89279999999997</v>
      </c>
    </row>
    <row r="96" spans="1:7" ht="75">
      <c r="A96" s="124" t="s">
        <v>334</v>
      </c>
      <c r="B96" s="158" t="s">
        <v>364</v>
      </c>
      <c r="C96" s="157" t="s">
        <v>365</v>
      </c>
      <c r="D96" s="145" t="s">
        <v>16</v>
      </c>
      <c r="E96" s="122">
        <f>0.6*0.8</f>
        <v>0.48</v>
      </c>
      <c r="F96" s="146">
        <v>945.61</v>
      </c>
      <c r="G96" s="146">
        <f>+F96*E96</f>
        <v>453.89279999999997</v>
      </c>
    </row>
    <row r="99" spans="1:7">
      <c r="A99" s="155" t="s">
        <v>29</v>
      </c>
      <c r="B99" s="155"/>
      <c r="C99" s="156" t="s">
        <v>30</v>
      </c>
      <c r="D99" s="140" t="s">
        <v>31</v>
      </c>
      <c r="E99" s="142" t="s">
        <v>366</v>
      </c>
      <c r="F99" s="142" t="s">
        <v>367</v>
      </c>
      <c r="G99" s="143">
        <f>SUM(G100:G101)</f>
        <v>1949.12</v>
      </c>
    </row>
    <row r="100" spans="1:7">
      <c r="A100" s="124" t="s">
        <v>334</v>
      </c>
      <c r="B100" s="150" t="s">
        <v>338</v>
      </c>
      <c r="C100" s="151" t="s">
        <v>339</v>
      </c>
      <c r="D100" s="124" t="s">
        <v>298</v>
      </c>
      <c r="E100" s="122">
        <f>4*8*2</f>
        <v>64</v>
      </c>
      <c r="F100" s="146">
        <v>18.84</v>
      </c>
      <c r="G100" s="146">
        <f>+F100*E100</f>
        <v>1205.76</v>
      </c>
    </row>
    <row r="101" spans="1:7">
      <c r="A101" s="124" t="s">
        <v>334</v>
      </c>
      <c r="B101" s="150" t="s">
        <v>368</v>
      </c>
      <c r="C101" s="153" t="s">
        <v>369</v>
      </c>
      <c r="D101" s="124" t="s">
        <v>370</v>
      </c>
      <c r="E101" s="154">
        <f>4*8</f>
        <v>32</v>
      </c>
      <c r="F101" s="146">
        <v>23.23</v>
      </c>
      <c r="G101" s="146">
        <f>+F101*E101</f>
        <v>743.36</v>
      </c>
    </row>
    <row r="104" spans="1:7" ht="23.25">
      <c r="A104" s="140" t="s">
        <v>109</v>
      </c>
      <c r="B104" s="159"/>
      <c r="C104" s="160" t="s">
        <v>371</v>
      </c>
      <c r="D104" s="128" t="s">
        <v>65</v>
      </c>
      <c r="E104" s="161" t="s">
        <v>366</v>
      </c>
      <c r="F104" s="162" t="s">
        <v>367</v>
      </c>
      <c r="G104" s="163" t="s">
        <v>372</v>
      </c>
    </row>
    <row r="105" spans="1:7" ht="23.25">
      <c r="A105" s="145" t="s">
        <v>373</v>
      </c>
      <c r="B105" s="164">
        <v>11688</v>
      </c>
      <c r="C105" s="160" t="s">
        <v>371</v>
      </c>
      <c r="D105" s="124" t="s">
        <v>28</v>
      </c>
      <c r="E105" s="165">
        <v>1</v>
      </c>
      <c r="F105" s="165">
        <v>553.62</v>
      </c>
      <c r="G105" s="166">
        <f>+F105*E105</f>
        <v>553.62</v>
      </c>
    </row>
    <row r="106" spans="1:7" ht="39" customHeight="1">
      <c r="A106" s="124" t="s">
        <v>334</v>
      </c>
      <c r="B106" s="164" t="s">
        <v>374</v>
      </c>
      <c r="C106" s="167" t="s">
        <v>375</v>
      </c>
      <c r="D106" s="124" t="s">
        <v>28</v>
      </c>
      <c r="E106" s="165">
        <v>2</v>
      </c>
      <c r="F106" s="165">
        <v>48.57</v>
      </c>
      <c r="G106" s="166">
        <f>+F106*E106</f>
        <v>97.14</v>
      </c>
    </row>
    <row r="107" spans="1:7">
      <c r="A107" s="124" t="s">
        <v>334</v>
      </c>
      <c r="B107" s="145">
        <v>88309</v>
      </c>
      <c r="C107" s="158" t="s">
        <v>376</v>
      </c>
      <c r="D107" s="145" t="s">
        <v>298</v>
      </c>
      <c r="E107" s="165">
        <v>2</v>
      </c>
      <c r="F107" s="165">
        <v>22.79</v>
      </c>
      <c r="G107" s="166">
        <f>+F107*E107</f>
        <v>45.58</v>
      </c>
    </row>
    <row r="108" spans="1:7">
      <c r="A108" s="124" t="s">
        <v>334</v>
      </c>
      <c r="B108" s="124" t="s">
        <v>338</v>
      </c>
      <c r="C108" s="125" t="s">
        <v>339</v>
      </c>
      <c r="D108" s="124" t="s">
        <v>298</v>
      </c>
      <c r="E108" s="168">
        <v>2</v>
      </c>
      <c r="F108" s="166">
        <v>18.84</v>
      </c>
      <c r="G108" s="166">
        <f>+F108*E108</f>
        <v>37.68</v>
      </c>
    </row>
    <row r="109" spans="1:7">
      <c r="A109" s="169"/>
      <c r="G109" s="170">
        <f>SUM(G105:G108)</f>
        <v>734.02</v>
      </c>
    </row>
    <row r="112" spans="1:7">
      <c r="A112" s="140" t="s">
        <v>68</v>
      </c>
      <c r="B112" s="159"/>
      <c r="C112" s="160" t="s">
        <v>153</v>
      </c>
      <c r="D112" s="128" t="s">
        <v>16</v>
      </c>
      <c r="E112" s="161" t="s">
        <v>366</v>
      </c>
      <c r="F112" s="162" t="s">
        <v>367</v>
      </c>
      <c r="G112" s="163" t="s">
        <v>372</v>
      </c>
    </row>
    <row r="113" spans="1:7">
      <c r="A113" s="145" t="s">
        <v>306</v>
      </c>
      <c r="B113" s="164" t="s">
        <v>377</v>
      </c>
      <c r="C113" s="160" t="s">
        <v>378</v>
      </c>
      <c r="D113" s="124" t="s">
        <v>298</v>
      </c>
      <c r="E113" s="165">
        <v>0.187</v>
      </c>
      <c r="F113" s="165">
        <v>17.59</v>
      </c>
      <c r="G113" s="166">
        <f>E113*F113</f>
        <v>3.2893300000000001</v>
      </c>
    </row>
    <row r="114" spans="1:7">
      <c r="A114" s="124" t="s">
        <v>306</v>
      </c>
      <c r="B114" s="164" t="s">
        <v>379</v>
      </c>
      <c r="C114" s="167" t="s">
        <v>380</v>
      </c>
      <c r="D114" s="124" t="s">
        <v>381</v>
      </c>
      <c r="E114" s="165">
        <v>0.25</v>
      </c>
      <c r="F114" s="165">
        <v>52.38</v>
      </c>
      <c r="G114" s="166">
        <f>E114*F114</f>
        <v>13.095000000000001</v>
      </c>
    </row>
    <row r="115" spans="1:7">
      <c r="A115" s="124" t="s">
        <v>306</v>
      </c>
      <c r="B115" s="145" t="s">
        <v>382</v>
      </c>
      <c r="C115" s="158" t="s">
        <v>383</v>
      </c>
      <c r="D115" s="145" t="s">
        <v>381</v>
      </c>
      <c r="E115" s="165">
        <v>0.33</v>
      </c>
      <c r="F115" s="165">
        <v>68.91</v>
      </c>
      <c r="G115" s="166">
        <f>E115*F115</f>
        <v>22.740300000000001</v>
      </c>
    </row>
    <row r="116" spans="1:7">
      <c r="A116" s="169"/>
      <c r="G116" s="170">
        <f>SUM(G113:G115)</f>
        <v>39.124630000000003</v>
      </c>
    </row>
    <row r="119" spans="1:7">
      <c r="A119" s="140" t="s">
        <v>163</v>
      </c>
      <c r="B119" s="159"/>
      <c r="C119" s="171" t="s">
        <v>384</v>
      </c>
      <c r="D119" s="128" t="s">
        <v>65</v>
      </c>
      <c r="E119" s="161" t="s">
        <v>366</v>
      </c>
      <c r="F119" s="162" t="s">
        <v>367</v>
      </c>
      <c r="G119" s="163" t="s">
        <v>372</v>
      </c>
    </row>
    <row r="120" spans="1:7" ht="23.25">
      <c r="A120" s="145" t="s">
        <v>373</v>
      </c>
      <c r="B120" s="172">
        <v>3993</v>
      </c>
      <c r="C120" s="160" t="s">
        <v>385</v>
      </c>
      <c r="D120" s="124" t="s">
        <v>16</v>
      </c>
      <c r="E120" s="165">
        <f>0.15*1.1</f>
        <v>0.16500000000000001</v>
      </c>
      <c r="F120" s="172">
        <v>72.61</v>
      </c>
      <c r="G120" s="166">
        <f t="shared" ref="G120:G126" si="4">E120*F120</f>
        <v>11.980650000000001</v>
      </c>
    </row>
    <row r="121" spans="1:7" ht="23.25">
      <c r="A121" s="145" t="s">
        <v>373</v>
      </c>
      <c r="B121" s="172">
        <v>20206</v>
      </c>
      <c r="C121" s="160" t="s">
        <v>386</v>
      </c>
      <c r="D121" s="172" t="s">
        <v>387</v>
      </c>
      <c r="E121" s="173">
        <f>1/10</f>
        <v>0.1</v>
      </c>
      <c r="F121" s="172">
        <v>5.46</v>
      </c>
      <c r="G121" s="166">
        <f t="shared" si="4"/>
        <v>0.54600000000000004</v>
      </c>
    </row>
    <row r="122" spans="1:7">
      <c r="A122" s="145" t="s">
        <v>373</v>
      </c>
      <c r="B122" s="172">
        <v>1339</v>
      </c>
      <c r="C122" s="160" t="s">
        <v>388</v>
      </c>
      <c r="D122" s="172" t="s">
        <v>202</v>
      </c>
      <c r="E122" s="172">
        <v>0.15</v>
      </c>
      <c r="F122" s="172">
        <v>45.94</v>
      </c>
      <c r="G122" s="166">
        <f t="shared" si="4"/>
        <v>6.8909999999999991</v>
      </c>
    </row>
    <row r="123" spans="1:7" ht="23.25">
      <c r="A123" s="145" t="s">
        <v>373</v>
      </c>
      <c r="B123" s="172">
        <v>7584</v>
      </c>
      <c r="C123" s="160" t="s">
        <v>389</v>
      </c>
      <c r="D123" s="124" t="s">
        <v>28</v>
      </c>
      <c r="E123" s="165">
        <v>1</v>
      </c>
      <c r="F123" s="165">
        <v>1.59</v>
      </c>
      <c r="G123" s="166">
        <f t="shared" si="4"/>
        <v>1.59</v>
      </c>
    </row>
    <row r="124" spans="1:7">
      <c r="A124" s="124" t="s">
        <v>334</v>
      </c>
      <c r="B124" s="172" t="s">
        <v>390</v>
      </c>
      <c r="C124" s="160" t="s">
        <v>153</v>
      </c>
      <c r="D124" s="124" t="s">
        <v>16</v>
      </c>
      <c r="E124" s="165">
        <v>0.35</v>
      </c>
      <c r="F124" s="165">
        <v>39.119999999999997</v>
      </c>
      <c r="G124" s="166">
        <f t="shared" si="4"/>
        <v>13.691999999999998</v>
      </c>
    </row>
    <row r="125" spans="1:7">
      <c r="A125" s="124" t="s">
        <v>334</v>
      </c>
      <c r="B125" s="145">
        <v>88261</v>
      </c>
      <c r="C125" s="160" t="s">
        <v>391</v>
      </c>
      <c r="D125" s="145" t="s">
        <v>298</v>
      </c>
      <c r="E125" s="165">
        <v>0.5</v>
      </c>
      <c r="F125" s="165">
        <v>21.52</v>
      </c>
      <c r="G125" s="166">
        <f t="shared" si="4"/>
        <v>10.76</v>
      </c>
    </row>
    <row r="126" spans="1:7">
      <c r="A126" s="124" t="s">
        <v>334</v>
      </c>
      <c r="B126" s="172" t="s">
        <v>392</v>
      </c>
      <c r="C126" s="160" t="s">
        <v>393</v>
      </c>
      <c r="D126" s="124" t="s">
        <v>298</v>
      </c>
      <c r="E126" s="168">
        <v>0.5</v>
      </c>
      <c r="F126" s="166">
        <v>19.84</v>
      </c>
      <c r="G126" s="166">
        <f t="shared" si="4"/>
        <v>9.92</v>
      </c>
    </row>
    <row r="127" spans="1:7">
      <c r="A127" s="169"/>
      <c r="G127" s="174">
        <f>SUM(G120:G126)</f>
        <v>55.379649999999998</v>
      </c>
    </row>
    <row r="130" spans="1:7">
      <c r="A130" s="140" t="s">
        <v>166</v>
      </c>
      <c r="B130" s="159"/>
      <c r="C130" s="171" t="s">
        <v>394</v>
      </c>
      <c r="D130" s="128" t="s">
        <v>65</v>
      </c>
      <c r="E130" s="161" t="s">
        <v>366</v>
      </c>
      <c r="F130" s="162" t="s">
        <v>367</v>
      </c>
      <c r="G130" s="163" t="s">
        <v>372</v>
      </c>
    </row>
    <row r="131" spans="1:7" ht="23.25">
      <c r="A131" s="145" t="s">
        <v>373</v>
      </c>
      <c r="B131" s="172">
        <v>3993</v>
      </c>
      <c r="C131" s="160" t="s">
        <v>385</v>
      </c>
      <c r="D131" s="124" t="s">
        <v>16</v>
      </c>
      <c r="E131" s="165">
        <f>0.15*1.1</f>
        <v>0.16500000000000001</v>
      </c>
      <c r="F131" s="172">
        <v>72.61</v>
      </c>
      <c r="G131" s="166">
        <f t="shared" ref="G131:G136" si="5">E131*F131</f>
        <v>11.980650000000001</v>
      </c>
    </row>
    <row r="132" spans="1:7">
      <c r="A132" s="145" t="s">
        <v>373</v>
      </c>
      <c r="B132" s="172">
        <v>1339</v>
      </c>
      <c r="C132" s="160" t="s">
        <v>388</v>
      </c>
      <c r="D132" s="172" t="s">
        <v>202</v>
      </c>
      <c r="E132" s="172">
        <v>0.15</v>
      </c>
      <c r="F132" s="172">
        <v>45.94</v>
      </c>
      <c r="G132" s="166">
        <f t="shared" si="5"/>
        <v>6.8909999999999991</v>
      </c>
    </row>
    <row r="133" spans="1:7" ht="23.25">
      <c r="A133" s="145" t="s">
        <v>373</v>
      </c>
      <c r="B133" s="172">
        <v>7583</v>
      </c>
      <c r="C133" s="160" t="s">
        <v>395</v>
      </c>
      <c r="D133" s="124" t="s">
        <v>28</v>
      </c>
      <c r="E133" s="165">
        <v>0.67</v>
      </c>
      <c r="F133" s="165">
        <v>0.71</v>
      </c>
      <c r="G133" s="166">
        <f t="shared" si="5"/>
        <v>0.47570000000000001</v>
      </c>
    </row>
    <row r="134" spans="1:7">
      <c r="A134" s="124" t="s">
        <v>334</v>
      </c>
      <c r="B134" s="172" t="s">
        <v>390</v>
      </c>
      <c r="C134" s="160" t="s">
        <v>153</v>
      </c>
      <c r="D134" s="124" t="s">
        <v>16</v>
      </c>
      <c r="E134" s="165">
        <v>0.35</v>
      </c>
      <c r="F134" s="165">
        <v>39.119999999999997</v>
      </c>
      <c r="G134" s="166">
        <f t="shared" si="5"/>
        <v>13.691999999999998</v>
      </c>
    </row>
    <row r="135" spans="1:7">
      <c r="A135" s="124" t="s">
        <v>334</v>
      </c>
      <c r="B135" s="145">
        <v>88261</v>
      </c>
      <c r="C135" s="160" t="s">
        <v>391</v>
      </c>
      <c r="D135" s="145" t="s">
        <v>298</v>
      </c>
      <c r="E135" s="165">
        <v>0.5</v>
      </c>
      <c r="F135" s="165">
        <v>21.52</v>
      </c>
      <c r="G135" s="166">
        <f t="shared" si="5"/>
        <v>10.76</v>
      </c>
    </row>
    <row r="136" spans="1:7">
      <c r="A136" s="124" t="s">
        <v>334</v>
      </c>
      <c r="B136" s="172" t="s">
        <v>392</v>
      </c>
      <c r="C136" s="160" t="s">
        <v>393</v>
      </c>
      <c r="D136" s="124" t="s">
        <v>298</v>
      </c>
      <c r="E136" s="168">
        <v>0.5</v>
      </c>
      <c r="F136" s="166">
        <v>19.84</v>
      </c>
      <c r="G136" s="166">
        <f t="shared" si="5"/>
        <v>9.92</v>
      </c>
    </row>
    <row r="137" spans="1:7">
      <c r="A137" s="169"/>
      <c r="G137" s="174">
        <f>SUM(G131:G136)</f>
        <v>53.719349999999999</v>
      </c>
    </row>
    <row r="140" spans="1:7" ht="18.75">
      <c r="A140" s="2"/>
      <c r="B140" s="175"/>
      <c r="C140" s="412" t="s">
        <v>396</v>
      </c>
      <c r="D140" s="412"/>
      <c r="E140" s="412"/>
      <c r="F140" s="412"/>
      <c r="G140" s="176"/>
    </row>
    <row r="141" spans="1:7">
      <c r="A141" s="140" t="s">
        <v>171</v>
      </c>
      <c r="B141" s="177" t="s">
        <v>397</v>
      </c>
      <c r="C141" s="178" t="s">
        <v>398</v>
      </c>
      <c r="D141" s="179" t="s">
        <v>65</v>
      </c>
      <c r="E141" s="180" t="s">
        <v>304</v>
      </c>
      <c r="F141" s="180" t="s">
        <v>305</v>
      </c>
      <c r="G141" s="181" t="s">
        <v>399</v>
      </c>
    </row>
    <row r="142" spans="1:7" ht="30">
      <c r="A142" s="2"/>
      <c r="B142" s="182">
        <v>11687</v>
      </c>
      <c r="C142" s="183" t="s">
        <v>400</v>
      </c>
      <c r="D142" s="184" t="s">
        <v>47</v>
      </c>
      <c r="E142" s="185">
        <v>1</v>
      </c>
      <c r="F142" s="186">
        <v>1200.77</v>
      </c>
      <c r="G142" s="187">
        <f>F142*E142</f>
        <v>1200.77</v>
      </c>
    </row>
    <row r="143" spans="1:7" ht="30.75">
      <c r="A143" s="2"/>
      <c r="B143" s="188">
        <v>88267</v>
      </c>
      <c r="C143" s="189" t="s">
        <v>401</v>
      </c>
      <c r="D143" s="184" t="s">
        <v>298</v>
      </c>
      <c r="E143" s="185">
        <v>1</v>
      </c>
      <c r="F143" s="186">
        <v>67.66</v>
      </c>
      <c r="G143" s="187">
        <f>F143*E143</f>
        <v>67.66</v>
      </c>
    </row>
    <row r="144" spans="1:7" ht="18.75">
      <c r="A144" s="2"/>
      <c r="B144" s="188">
        <v>88316</v>
      </c>
      <c r="C144" s="189" t="s">
        <v>339</v>
      </c>
      <c r="D144" s="184" t="s">
        <v>298</v>
      </c>
      <c r="E144" s="185">
        <v>1</v>
      </c>
      <c r="F144" s="186">
        <v>18.84</v>
      </c>
      <c r="G144" s="187">
        <f>F144*E144</f>
        <v>18.84</v>
      </c>
    </row>
    <row r="145" spans="1:7" ht="30.75">
      <c r="A145" s="2"/>
      <c r="B145" s="190">
        <v>7696</v>
      </c>
      <c r="C145" s="189" t="s">
        <v>402</v>
      </c>
      <c r="D145" s="184" t="s">
        <v>47</v>
      </c>
      <c r="E145" s="185">
        <v>8.3000000000000007</v>
      </c>
      <c r="F145" s="186">
        <v>100.46</v>
      </c>
      <c r="G145" s="187">
        <f>F145*E145</f>
        <v>833.81799999999998</v>
      </c>
    </row>
    <row r="146" spans="1:7" ht="18.75">
      <c r="A146" s="2"/>
      <c r="B146" s="188">
        <v>88315</v>
      </c>
      <c r="C146" s="191" t="s">
        <v>403</v>
      </c>
      <c r="D146" s="184" t="s">
        <v>298</v>
      </c>
      <c r="E146" s="185">
        <v>8</v>
      </c>
      <c r="F146" s="186">
        <v>22.65</v>
      </c>
      <c r="G146" s="187">
        <f>F146*E146</f>
        <v>181.2</v>
      </c>
    </row>
    <row r="147" spans="1:7" ht="18.75">
      <c r="A147" s="2"/>
      <c r="E147" s="192" t="s">
        <v>404</v>
      </c>
      <c r="G147" s="193">
        <f>SUM(G142:G146)</f>
        <v>2302.2879999999996</v>
      </c>
    </row>
    <row r="150" spans="1:7">
      <c r="A150" s="140" t="s">
        <v>179</v>
      </c>
      <c r="B150" s="128"/>
      <c r="C150" s="194" t="s">
        <v>405</v>
      </c>
      <c r="D150" s="128" t="s">
        <v>65</v>
      </c>
      <c r="E150" s="161" t="s">
        <v>366</v>
      </c>
      <c r="F150" s="162" t="s">
        <v>367</v>
      </c>
      <c r="G150" s="163" t="s">
        <v>372</v>
      </c>
    </row>
    <row r="151" spans="1:7">
      <c r="A151" s="124"/>
      <c r="B151" s="124" t="s">
        <v>43</v>
      </c>
      <c r="C151" s="125" t="s">
        <v>406</v>
      </c>
      <c r="D151" s="124" t="s">
        <v>65</v>
      </c>
      <c r="E151" s="126">
        <v>1</v>
      </c>
      <c r="F151" s="166">
        <v>249.9</v>
      </c>
      <c r="G151" s="166">
        <f>+F151*E151</f>
        <v>249.9</v>
      </c>
    </row>
    <row r="152" spans="1:7">
      <c r="A152" s="124" t="s">
        <v>334</v>
      </c>
      <c r="B152" s="124" t="s">
        <v>368</v>
      </c>
      <c r="C152" s="125" t="s">
        <v>369</v>
      </c>
      <c r="D152" s="124" t="s">
        <v>298</v>
      </c>
      <c r="E152" s="126" t="s">
        <v>407</v>
      </c>
      <c r="F152" s="166">
        <v>23.23</v>
      </c>
      <c r="G152" s="166">
        <f>+F152*E152</f>
        <v>10.4535</v>
      </c>
    </row>
    <row r="153" spans="1:7">
      <c r="A153" s="124" t="s">
        <v>334</v>
      </c>
      <c r="B153" s="124" t="s">
        <v>338</v>
      </c>
      <c r="C153" s="125" t="s">
        <v>339</v>
      </c>
      <c r="D153" s="124" t="s">
        <v>298</v>
      </c>
      <c r="E153" s="126" t="s">
        <v>408</v>
      </c>
      <c r="F153" s="166">
        <v>18.84</v>
      </c>
      <c r="G153" s="166">
        <f>+F153*E153</f>
        <v>5.6520000000000001</v>
      </c>
    </row>
    <row r="154" spans="1:7">
      <c r="A154" s="119"/>
      <c r="B154" s="119"/>
      <c r="C154" s="119"/>
      <c r="D154" s="119"/>
      <c r="E154" s="119"/>
      <c r="F154" s="195"/>
      <c r="G154" s="196">
        <f>SUM(G151:G153)</f>
        <v>266.00549999999998</v>
      </c>
    </row>
    <row r="155" spans="1:7" ht="18.75">
      <c r="A155" s="2"/>
      <c r="B155" s="2"/>
      <c r="C155" s="2"/>
      <c r="D155" s="2"/>
      <c r="E155" s="2"/>
      <c r="F155" s="2"/>
      <c r="G155" s="2"/>
    </row>
    <row r="156" spans="1:7">
      <c r="A156" s="140" t="s">
        <v>182</v>
      </c>
      <c r="B156" s="124"/>
      <c r="C156" s="125" t="s">
        <v>409</v>
      </c>
      <c r="D156" s="124" t="s">
        <v>47</v>
      </c>
      <c r="E156" s="197" t="s">
        <v>366</v>
      </c>
      <c r="F156" s="162" t="s">
        <v>367</v>
      </c>
      <c r="G156" s="163" t="s">
        <v>372</v>
      </c>
    </row>
    <row r="157" spans="1:7">
      <c r="A157" s="124"/>
      <c r="B157" s="124" t="s">
        <v>43</v>
      </c>
      <c r="C157" s="125" t="s">
        <v>410</v>
      </c>
      <c r="D157" s="124" t="s">
        <v>47</v>
      </c>
      <c r="E157" s="126">
        <f>2.5+4.5+2+2.5+2.5</f>
        <v>14</v>
      </c>
      <c r="F157" s="166">
        <v>28</v>
      </c>
      <c r="G157" s="166">
        <f>+F157*E157</f>
        <v>392</v>
      </c>
    </row>
    <row r="158" spans="1:7">
      <c r="A158" s="124"/>
      <c r="B158" s="124" t="s">
        <v>43</v>
      </c>
      <c r="C158" s="125" t="s">
        <v>411</v>
      </c>
      <c r="D158" s="124" t="s">
        <v>28</v>
      </c>
      <c r="E158" s="126">
        <v>5</v>
      </c>
      <c r="F158" s="166">
        <v>25.9</v>
      </c>
      <c r="G158" s="166">
        <f>+F158*E158</f>
        <v>129.5</v>
      </c>
    </row>
    <row r="159" spans="1:7">
      <c r="A159" s="124" t="s">
        <v>334</v>
      </c>
      <c r="B159" s="124" t="s">
        <v>368</v>
      </c>
      <c r="C159" s="125" t="s">
        <v>369</v>
      </c>
      <c r="D159" s="124" t="s">
        <v>298</v>
      </c>
      <c r="E159" s="126">
        <v>8</v>
      </c>
      <c r="F159" s="166">
        <v>23.23</v>
      </c>
      <c r="G159" s="166">
        <f>+F159*E159</f>
        <v>185.84</v>
      </c>
    </row>
    <row r="160" spans="1:7">
      <c r="A160" s="124" t="s">
        <v>334</v>
      </c>
      <c r="B160" s="124" t="s">
        <v>338</v>
      </c>
      <c r="C160" s="125" t="s">
        <v>339</v>
      </c>
      <c r="D160" s="124" t="s">
        <v>298</v>
      </c>
      <c r="E160" s="126">
        <v>4</v>
      </c>
      <c r="F160" s="166">
        <v>18.84</v>
      </c>
      <c r="G160" s="166">
        <f>+F160*E160</f>
        <v>75.36</v>
      </c>
    </row>
    <row r="161" spans="1:7">
      <c r="A161" s="119"/>
      <c r="B161" s="119"/>
      <c r="C161" s="119"/>
      <c r="D161" s="119"/>
      <c r="E161" s="119"/>
      <c r="F161" s="198" t="s">
        <v>412</v>
      </c>
      <c r="G161" s="196">
        <f>SUM(G157:G160)</f>
        <v>782.7</v>
      </c>
    </row>
    <row r="162" spans="1:7">
      <c r="F162" s="169" t="s">
        <v>413</v>
      </c>
      <c r="G162" s="199">
        <f>+E157</f>
        <v>14</v>
      </c>
    </row>
    <row r="163" spans="1:7">
      <c r="F163" s="200" t="s">
        <v>414</v>
      </c>
      <c r="G163" s="201">
        <f>+G161/G162</f>
        <v>55.907142857142858</v>
      </c>
    </row>
    <row r="166" spans="1:7" ht="33.75">
      <c r="A166" s="140" t="s">
        <v>32</v>
      </c>
      <c r="B166" s="124"/>
      <c r="C166" s="125" t="s">
        <v>415</v>
      </c>
      <c r="D166" s="124" t="s">
        <v>47</v>
      </c>
      <c r="E166" s="197" t="s">
        <v>366</v>
      </c>
      <c r="F166" s="162" t="s">
        <v>367</v>
      </c>
      <c r="G166" s="163" t="s">
        <v>372</v>
      </c>
    </row>
    <row r="167" spans="1:7">
      <c r="A167" s="202" t="s">
        <v>306</v>
      </c>
      <c r="B167" s="202" t="s">
        <v>416</v>
      </c>
      <c r="C167" s="202" t="s">
        <v>417</v>
      </c>
      <c r="D167" s="202" t="s">
        <v>47</v>
      </c>
      <c r="E167" s="203">
        <v>1.0210999999999999</v>
      </c>
      <c r="F167" s="166">
        <v>54.68</v>
      </c>
      <c r="G167" s="166">
        <f t="shared" ref="G167:G172" si="6">+F167*E167</f>
        <v>55.833747999999993</v>
      </c>
    </row>
    <row r="168" spans="1:7">
      <c r="A168" s="202" t="s">
        <v>334</v>
      </c>
      <c r="B168" s="202" t="s">
        <v>418</v>
      </c>
      <c r="C168" s="202" t="s">
        <v>419</v>
      </c>
      <c r="D168" s="202" t="s">
        <v>298</v>
      </c>
      <c r="E168" s="203">
        <v>0.33800000000000002</v>
      </c>
      <c r="F168" s="166">
        <v>19.53</v>
      </c>
      <c r="G168" s="166">
        <f t="shared" si="6"/>
        <v>6.6011400000000009</v>
      </c>
    </row>
    <row r="169" spans="1:7">
      <c r="A169" s="202" t="s">
        <v>334</v>
      </c>
      <c r="B169" s="202" t="s">
        <v>420</v>
      </c>
      <c r="C169" s="202" t="s">
        <v>401</v>
      </c>
      <c r="D169" s="202" t="s">
        <v>298</v>
      </c>
      <c r="E169" s="203">
        <v>0.33800000000000002</v>
      </c>
      <c r="F169" s="166">
        <v>22.28</v>
      </c>
      <c r="G169" s="166">
        <f t="shared" si="6"/>
        <v>7.5306400000000009</v>
      </c>
    </row>
    <row r="170" spans="1:7">
      <c r="A170" s="202" t="s">
        <v>306</v>
      </c>
      <c r="B170" s="202" t="s">
        <v>421</v>
      </c>
      <c r="C170" s="202" t="s">
        <v>422</v>
      </c>
      <c r="D170" s="202" t="s">
        <v>65</v>
      </c>
      <c r="E170" s="202">
        <v>0.05</v>
      </c>
      <c r="F170" s="166">
        <v>333.94</v>
      </c>
      <c r="G170" s="166">
        <f t="shared" si="6"/>
        <v>16.696999999999999</v>
      </c>
    </row>
    <row r="171" spans="1:7">
      <c r="A171" s="202" t="s">
        <v>306</v>
      </c>
      <c r="B171" s="202" t="s">
        <v>423</v>
      </c>
      <c r="C171" s="202" t="s">
        <v>424</v>
      </c>
      <c r="D171" s="202" t="s">
        <v>65</v>
      </c>
      <c r="E171" s="202">
        <v>1</v>
      </c>
      <c r="F171" s="166">
        <v>2.2799999999999998</v>
      </c>
      <c r="G171" s="166">
        <f t="shared" si="6"/>
        <v>2.2799999999999998</v>
      </c>
    </row>
    <row r="172" spans="1:7">
      <c r="A172" s="202" t="s">
        <v>306</v>
      </c>
      <c r="B172" s="202" t="s">
        <v>425</v>
      </c>
      <c r="C172" s="202" t="s">
        <v>426</v>
      </c>
      <c r="D172" s="202" t="s">
        <v>65</v>
      </c>
      <c r="E172" s="202">
        <v>0.04</v>
      </c>
      <c r="F172" s="166">
        <v>61.22</v>
      </c>
      <c r="G172" s="166">
        <f t="shared" si="6"/>
        <v>2.4487999999999999</v>
      </c>
    </row>
    <row r="173" spans="1:7">
      <c r="A173" s="119"/>
      <c r="B173" s="119"/>
      <c r="C173" s="119"/>
      <c r="D173" s="119"/>
      <c r="E173" s="119"/>
      <c r="F173" s="198" t="s">
        <v>412</v>
      </c>
      <c r="G173" s="196">
        <f>SUM(G167:G172)</f>
        <v>91.391328000000001</v>
      </c>
    </row>
    <row r="177" spans="1:7" ht="33.75">
      <c r="A177" s="140" t="s">
        <v>188</v>
      </c>
      <c r="B177" s="124"/>
      <c r="C177" s="125" t="s">
        <v>427</v>
      </c>
      <c r="D177" s="124" t="s">
        <v>47</v>
      </c>
      <c r="E177" s="197" t="s">
        <v>366</v>
      </c>
      <c r="F177" s="162" t="s">
        <v>367</v>
      </c>
      <c r="G177" s="163" t="s">
        <v>372</v>
      </c>
    </row>
    <row r="178" spans="1:7">
      <c r="A178" s="202" t="s">
        <v>306</v>
      </c>
      <c r="B178" s="202" t="s">
        <v>428</v>
      </c>
      <c r="C178" s="202" t="s">
        <v>429</v>
      </c>
      <c r="D178" s="202" t="s">
        <v>47</v>
      </c>
      <c r="E178" s="203">
        <v>1.0210999999999999</v>
      </c>
      <c r="F178" s="166">
        <v>88.48</v>
      </c>
      <c r="G178" s="166">
        <f t="shared" ref="G178:G183" si="7">+F178*E178</f>
        <v>90.346927999999991</v>
      </c>
    </row>
    <row r="179" spans="1:7">
      <c r="A179" s="202" t="s">
        <v>334</v>
      </c>
      <c r="B179" s="202" t="s">
        <v>418</v>
      </c>
      <c r="C179" s="202" t="s">
        <v>419</v>
      </c>
      <c r="D179" s="202" t="s">
        <v>298</v>
      </c>
      <c r="E179" s="203">
        <v>0.51</v>
      </c>
      <c r="F179" s="166">
        <v>19.53</v>
      </c>
      <c r="G179" s="166">
        <f t="shared" si="7"/>
        <v>9.9603000000000002</v>
      </c>
    </row>
    <row r="180" spans="1:7">
      <c r="A180" s="202" t="s">
        <v>334</v>
      </c>
      <c r="B180" s="202" t="s">
        <v>420</v>
      </c>
      <c r="C180" s="202" t="s">
        <v>401</v>
      </c>
      <c r="D180" s="202" t="s">
        <v>298</v>
      </c>
      <c r="E180" s="203">
        <v>0.51</v>
      </c>
      <c r="F180" s="166">
        <v>22.28</v>
      </c>
      <c r="G180" s="166">
        <f t="shared" si="7"/>
        <v>11.3628</v>
      </c>
    </row>
    <row r="181" spans="1:7">
      <c r="A181" s="202" t="s">
        <v>306</v>
      </c>
      <c r="B181" s="202" t="s">
        <v>421</v>
      </c>
      <c r="C181" s="202" t="s">
        <v>422</v>
      </c>
      <c r="D181" s="202" t="s">
        <v>65</v>
      </c>
      <c r="E181" s="202">
        <v>0.1</v>
      </c>
      <c r="F181" s="166">
        <v>333.94</v>
      </c>
      <c r="G181" s="166">
        <f t="shared" si="7"/>
        <v>33.393999999999998</v>
      </c>
    </row>
    <row r="182" spans="1:7">
      <c r="A182" s="202" t="s">
        <v>306</v>
      </c>
      <c r="B182" s="202" t="s">
        <v>423</v>
      </c>
      <c r="C182" s="202" t="s">
        <v>424</v>
      </c>
      <c r="D182" s="202" t="s">
        <v>65</v>
      </c>
      <c r="E182" s="202">
        <v>1</v>
      </c>
      <c r="F182" s="166">
        <v>2.2799999999999998</v>
      </c>
      <c r="G182" s="166">
        <f t="shared" si="7"/>
        <v>2.2799999999999998</v>
      </c>
    </row>
    <row r="183" spans="1:7">
      <c r="A183" s="202" t="s">
        <v>306</v>
      </c>
      <c r="B183" s="202" t="s">
        <v>425</v>
      </c>
      <c r="C183" s="202" t="s">
        <v>426</v>
      </c>
      <c r="D183" s="202" t="s">
        <v>65</v>
      </c>
      <c r="E183" s="202">
        <v>0.04</v>
      </c>
      <c r="F183" s="166">
        <v>61.22</v>
      </c>
      <c r="G183" s="166">
        <f t="shared" si="7"/>
        <v>2.4487999999999999</v>
      </c>
    </row>
    <row r="184" spans="1:7">
      <c r="A184" s="119"/>
      <c r="B184" s="119"/>
      <c r="C184" s="119"/>
      <c r="D184" s="119"/>
      <c r="E184" s="119"/>
      <c r="F184" s="198" t="s">
        <v>412</v>
      </c>
      <c r="G184" s="196">
        <f>SUM(G178:G183)</f>
        <v>149.79282800000001</v>
      </c>
    </row>
    <row r="188" spans="1:7" ht="33.75">
      <c r="A188" s="140" t="s">
        <v>189</v>
      </c>
      <c r="B188" s="124"/>
      <c r="C188" s="125" t="s">
        <v>430</v>
      </c>
      <c r="D188" s="124" t="s">
        <v>47</v>
      </c>
      <c r="E188" s="197" t="s">
        <v>366</v>
      </c>
      <c r="F188" s="162" t="s">
        <v>367</v>
      </c>
      <c r="G188" s="163" t="s">
        <v>372</v>
      </c>
    </row>
    <row r="189" spans="1:7">
      <c r="A189" s="202" t="s">
        <v>306</v>
      </c>
      <c r="B189" s="202" t="s">
        <v>431</v>
      </c>
      <c r="C189" s="202" t="s">
        <v>432</v>
      </c>
      <c r="D189" s="202" t="s">
        <v>47</v>
      </c>
      <c r="E189" s="203">
        <v>1.0210999999999999</v>
      </c>
      <c r="F189" s="166">
        <v>260.62</v>
      </c>
      <c r="G189" s="166">
        <f t="shared" ref="G189:G194" si="8">+F189*E189</f>
        <v>266.11908199999999</v>
      </c>
    </row>
    <row r="190" spans="1:7">
      <c r="A190" s="202" t="s">
        <v>334</v>
      </c>
      <c r="B190" s="202" t="s">
        <v>418</v>
      </c>
      <c r="C190" s="202" t="s">
        <v>419</v>
      </c>
      <c r="D190" s="202" t="s">
        <v>298</v>
      </c>
      <c r="E190" s="203">
        <v>7.5999999999999998E-2</v>
      </c>
      <c r="F190" s="166">
        <v>19.53</v>
      </c>
      <c r="G190" s="166">
        <f t="shared" si="8"/>
        <v>1.48428</v>
      </c>
    </row>
    <row r="191" spans="1:7">
      <c r="A191" s="202" t="s">
        <v>334</v>
      </c>
      <c r="B191" s="202" t="s">
        <v>420</v>
      </c>
      <c r="C191" s="202" t="s">
        <v>401</v>
      </c>
      <c r="D191" s="202" t="s">
        <v>298</v>
      </c>
      <c r="E191" s="203">
        <v>7.5999999999999998E-2</v>
      </c>
      <c r="F191" s="166">
        <v>22.28</v>
      </c>
      <c r="G191" s="166">
        <f t="shared" si="8"/>
        <v>1.6932800000000001</v>
      </c>
    </row>
    <row r="192" spans="1:7">
      <c r="A192" s="202" t="s">
        <v>306</v>
      </c>
      <c r="B192" s="202" t="s">
        <v>421</v>
      </c>
      <c r="C192" s="202" t="s">
        <v>422</v>
      </c>
      <c r="D192" s="202" t="s">
        <v>65</v>
      </c>
      <c r="E192" s="202">
        <v>0.15</v>
      </c>
      <c r="F192" s="166">
        <v>333.94</v>
      </c>
      <c r="G192" s="166">
        <f t="shared" si="8"/>
        <v>50.091000000000001</v>
      </c>
    </row>
    <row r="193" spans="1:7">
      <c r="A193" s="202" t="s">
        <v>306</v>
      </c>
      <c r="B193" s="202" t="s">
        <v>423</v>
      </c>
      <c r="C193" s="202" t="s">
        <v>424</v>
      </c>
      <c r="D193" s="202" t="s">
        <v>65</v>
      </c>
      <c r="E193" s="202">
        <v>1</v>
      </c>
      <c r="F193" s="166">
        <v>2.2799999999999998</v>
      </c>
      <c r="G193" s="166">
        <f t="shared" si="8"/>
        <v>2.2799999999999998</v>
      </c>
    </row>
    <row r="194" spans="1:7">
      <c r="A194" s="202" t="s">
        <v>306</v>
      </c>
      <c r="B194" s="202" t="s">
        <v>425</v>
      </c>
      <c r="C194" s="202" t="s">
        <v>426</v>
      </c>
      <c r="D194" s="202" t="s">
        <v>65</v>
      </c>
      <c r="E194" s="202">
        <v>0.04</v>
      </c>
      <c r="F194" s="166">
        <v>61.22</v>
      </c>
      <c r="G194" s="166">
        <f t="shared" si="8"/>
        <v>2.4487999999999999</v>
      </c>
    </row>
    <row r="195" spans="1:7">
      <c r="A195" s="119"/>
      <c r="B195" s="119"/>
      <c r="C195" s="119"/>
      <c r="D195" s="119"/>
      <c r="E195" s="119"/>
      <c r="F195" s="198" t="s">
        <v>412</v>
      </c>
      <c r="G195" s="196">
        <f>SUM(G189:G194)</f>
        <v>324.11644200000001</v>
      </c>
    </row>
  </sheetData>
  <mergeCells count="1">
    <mergeCell ref="C140:F140"/>
  </mergeCells>
  <conditionalFormatting sqref="A73:C74 A78:C79 A84:E85 A91:E92 A96:E96 A167:E172">
    <cfRule type="expression" dxfId="75" priority="2">
      <formula>AND($A73&lt;&gt;"COMPOSICAO",$A73&lt;&gt;"INSUMO",$A73&lt;&gt;"")</formula>
    </cfRule>
    <cfRule type="expression" dxfId="74" priority="3">
      <formula>AND(OR($A73="COMPOSICAO",$A73="INSUMO",$A73&lt;&gt;""),$A73&lt;&gt;"")</formula>
    </cfRule>
  </conditionalFormatting>
  <conditionalFormatting sqref="A84">
    <cfRule type="expression" dxfId="73" priority="4">
      <formula>AND($A84&lt;&gt;"COMPOSICAO",$A84&lt;&gt;"INSUMO",$A84&lt;&gt;"")</formula>
    </cfRule>
    <cfRule type="expression" dxfId="72" priority="5">
      <formula>AND(OR($A84="COMPOSICAO",$A84="INSUMO",$A84&lt;&gt;""),$A84&lt;&gt;"")</formula>
    </cfRule>
  </conditionalFormatting>
  <conditionalFormatting sqref="A91">
    <cfRule type="expression" dxfId="71" priority="6">
      <formula>AND($A91&lt;&gt;"COMPOSICAO",$A91&lt;&gt;"INSUMO",$A91&lt;&gt;"")</formula>
    </cfRule>
    <cfRule type="expression" dxfId="70" priority="7">
      <formula>AND(OR($A91="COMPOSICAO",$A91="INSUMO",$A91&lt;&gt;""),$A91&lt;&gt;"")</formula>
    </cfRule>
  </conditionalFormatting>
  <conditionalFormatting sqref="C74">
    <cfRule type="expression" dxfId="69" priority="8">
      <formula>AND($A74&lt;&gt;"COMPOSICAO",$A74&lt;&gt;"INSUMO",$A74&lt;&gt;"")</formula>
    </cfRule>
    <cfRule type="expression" dxfId="68" priority="9">
      <formula>AND(OR($A74="COMPOSICAO",$A74="INSUMO",$A74&lt;&gt;""),$A74&lt;&gt;"")</formula>
    </cfRule>
  </conditionalFormatting>
  <conditionalFormatting sqref="C79">
    <cfRule type="expression" dxfId="67" priority="10">
      <formula>AND($A79&lt;&gt;"COMPOSICAO",$A79&lt;&gt;"INSUMO",$A79&lt;&gt;"")</formula>
    </cfRule>
    <cfRule type="expression" dxfId="66" priority="11">
      <formula>AND(OR($A79="COMPOSICAO",$A79="INSUMO",$A79&lt;&gt;""),$A79&lt;&gt;"")</formula>
    </cfRule>
  </conditionalFormatting>
  <conditionalFormatting sqref="B85:C85">
    <cfRule type="expression" dxfId="65" priority="12">
      <formula>AND($A85&lt;&gt;"COMPOSICAO",$A85&lt;&gt;"INSUMO",$A85&lt;&gt;"")</formula>
    </cfRule>
    <cfRule type="expression" dxfId="64" priority="13">
      <formula>AND(OR($A85="COMPOSICAO",$A85="INSUMO",$A85&lt;&gt;""),$A85&lt;&gt;"")</formula>
    </cfRule>
  </conditionalFormatting>
  <conditionalFormatting sqref="C85">
    <cfRule type="expression" dxfId="63" priority="14">
      <formula>AND($A85&lt;&gt;"COMPOSICAO",$A85&lt;&gt;"INSUMO",$A85&lt;&gt;"")</formula>
    </cfRule>
    <cfRule type="expression" dxfId="62" priority="15">
      <formula>AND(OR($A85="COMPOSICAO",$A85="INSUMO",$A85&lt;&gt;""),$A85&lt;&gt;"")</formula>
    </cfRule>
  </conditionalFormatting>
  <conditionalFormatting sqref="A85">
    <cfRule type="expression" dxfId="61" priority="16">
      <formula>AND($A85&lt;&gt;"COMPOSICAO",$A85&lt;&gt;"INSUMO",$A85&lt;&gt;"")</formula>
    </cfRule>
    <cfRule type="expression" dxfId="60" priority="17">
      <formula>AND(OR($A85="COMPOSICAO",$A85="INSUMO",$A85&lt;&gt;""),$A85&lt;&gt;"")</formula>
    </cfRule>
  </conditionalFormatting>
  <conditionalFormatting sqref="B91:C91">
    <cfRule type="expression" dxfId="59" priority="18">
      <formula>AND($A91&lt;&gt;"COMPOSICAO",$A91&lt;&gt;"INSUMO",$A91&lt;&gt;"")</formula>
    </cfRule>
    <cfRule type="expression" dxfId="58" priority="19">
      <formula>AND(OR($A91="COMPOSICAO",$A91="INSUMO",$A91&lt;&gt;""),$A91&lt;&gt;"")</formula>
    </cfRule>
  </conditionalFormatting>
  <conditionalFormatting sqref="A92:C92">
    <cfRule type="expression" dxfId="57" priority="20">
      <formula>AND($A92&lt;&gt;"COMPOSICAO",$A92&lt;&gt;"INSUMO",$A92&lt;&gt;"")</formula>
    </cfRule>
    <cfRule type="expression" dxfId="56" priority="21">
      <formula>AND(OR($A92="COMPOSICAO",$A92="INSUMO",$A92&lt;&gt;""),$A92&lt;&gt;"")</formula>
    </cfRule>
  </conditionalFormatting>
  <conditionalFormatting sqref="B92:C92">
    <cfRule type="expression" dxfId="55" priority="22">
      <formula>AND($A92&lt;&gt;"COMPOSICAO",$A92&lt;&gt;"INSUMO",$A92&lt;&gt;"")</formula>
    </cfRule>
    <cfRule type="expression" dxfId="54" priority="23">
      <formula>AND(OR($A92="COMPOSICAO",$A92="INSUMO",$A92&lt;&gt;""),$A92&lt;&gt;"")</formula>
    </cfRule>
  </conditionalFormatting>
  <conditionalFormatting sqref="C92">
    <cfRule type="expression" dxfId="53" priority="24">
      <formula>AND($A92&lt;&gt;"COMPOSICAO",$A92&lt;&gt;"INSUMO",$A92&lt;&gt;"")</formula>
    </cfRule>
    <cfRule type="expression" dxfId="52" priority="25">
      <formula>AND(OR($A92="COMPOSICAO",$A92="INSUMO",$A92&lt;&gt;""),$A92&lt;&gt;"")</formula>
    </cfRule>
  </conditionalFormatting>
  <conditionalFormatting sqref="A92">
    <cfRule type="expression" dxfId="51" priority="26">
      <formula>AND($A92&lt;&gt;"COMPOSICAO",$A92&lt;&gt;"INSUMO",$A92&lt;&gt;"")</formula>
    </cfRule>
    <cfRule type="expression" dxfId="50" priority="27">
      <formula>AND(OR($A92="COMPOSICAO",$A92="INSUMO",$A92&lt;&gt;""),$A92&lt;&gt;"")</formula>
    </cfRule>
  </conditionalFormatting>
  <conditionalFormatting sqref="A96">
    <cfRule type="expression" dxfId="49" priority="28">
      <formula>AND($A96&lt;&gt;"COMPOSICAO",$A96&lt;&gt;"INSUMO",$A96&lt;&gt;"")</formula>
    </cfRule>
    <cfRule type="expression" dxfId="48" priority="29">
      <formula>AND(OR($A96="COMPOSICAO",$A96="INSUMO",$A96&lt;&gt;""),$A96&lt;&gt;"")</formula>
    </cfRule>
  </conditionalFormatting>
  <conditionalFormatting sqref="B96:C96">
    <cfRule type="expression" dxfId="47" priority="30">
      <formula>AND($A96&lt;&gt;"COMPOSICAO",$A96&lt;&gt;"INSUMO",$A96&lt;&gt;"")</formula>
    </cfRule>
    <cfRule type="expression" dxfId="46" priority="31">
      <formula>AND(OR($A96="COMPOSICAO",$A96="INSUMO",$A96&lt;&gt;""),$A96&lt;&gt;"")</formula>
    </cfRule>
  </conditionalFormatting>
  <conditionalFormatting sqref="A96">
    <cfRule type="expression" dxfId="45" priority="32">
      <formula>AND($A96&lt;&gt;"COMPOSICAO",$A96&lt;&gt;"INSUMO",$A96&lt;&gt;"")</formula>
    </cfRule>
    <cfRule type="expression" dxfId="44" priority="33">
      <formula>AND(OR($A96="COMPOSICAO",$A96="INSUMO",$A96&lt;&gt;""),$A96&lt;&gt;"")</formula>
    </cfRule>
  </conditionalFormatting>
  <conditionalFormatting sqref="A68:E68">
    <cfRule type="expression" dxfId="43" priority="34">
      <formula>AND($A68&lt;&gt;"COMPOSICAO",$A68&lt;&gt;"INSUMO",$A68&lt;&gt;"")</formula>
    </cfRule>
    <cfRule type="expression" dxfId="42" priority="35">
      <formula>AND(OR($A68="COMPOSICAO",$A68="INSUMO",$A68&lt;&gt;""),$A68&lt;&gt;"")</formula>
    </cfRule>
  </conditionalFormatting>
  <conditionalFormatting sqref="A68">
    <cfRule type="expression" dxfId="41" priority="36">
      <formula>AND($A68&lt;&gt;"COMPOSICAO",$A68&lt;&gt;"INSUMO",$A68&lt;&gt;"")</formula>
    </cfRule>
    <cfRule type="expression" dxfId="40" priority="37">
      <formula>AND(OR($A68="COMPOSICAO",$A68="INSUMO",$A68&lt;&gt;""),$A68&lt;&gt;"")</formula>
    </cfRule>
  </conditionalFormatting>
  <conditionalFormatting sqref="B68:C68">
    <cfRule type="expression" dxfId="39" priority="38">
      <formula>AND($A68&lt;&gt;"COMPOSICAO",$A68&lt;&gt;"INSUMO",$A68&lt;&gt;"")</formula>
    </cfRule>
    <cfRule type="expression" dxfId="38" priority="39">
      <formula>AND(OR($A68="COMPOSICAO",$A68="INSUMO",$A68&lt;&gt;""),$A68&lt;&gt;"")</formula>
    </cfRule>
  </conditionalFormatting>
  <conditionalFormatting sqref="A68">
    <cfRule type="expression" dxfId="37" priority="40">
      <formula>AND($A68&lt;&gt;"COMPOSICAO",$A68&lt;&gt;"INSUMO",$A68&lt;&gt;"")</formula>
    </cfRule>
    <cfRule type="expression" dxfId="36" priority="41">
      <formula>AND(OR($A68="COMPOSICAO",$A68="INSUMO",$A68&lt;&gt;""),$A68&lt;&gt;"")</formula>
    </cfRule>
  </conditionalFormatting>
  <conditionalFormatting sqref="C101">
    <cfRule type="expression" dxfId="35" priority="42">
      <formula>AND($A101&lt;&gt;"COMPOSICAO",$A101&lt;&gt;"INSUMO",$A101&lt;&gt;"")</formula>
    </cfRule>
    <cfRule type="expression" dxfId="34" priority="43">
      <formula>AND(OR($A101="COMPOSICAO",$A101="INSUMO",$A101&lt;&gt;""),$A101&lt;&gt;"")</formula>
    </cfRule>
  </conditionalFormatting>
  <conditionalFormatting sqref="A101">
    <cfRule type="expression" dxfId="33" priority="44">
      <formula>AND($A101&lt;&gt;"COMPOSICAO",$A101&lt;&gt;"INSUMO",$A101&lt;&gt;"")</formula>
    </cfRule>
    <cfRule type="expression" dxfId="32" priority="45">
      <formula>AND(OR($A101="COMPOSICAO",$A101="INSUMO",$A101&lt;&gt;""),$A101&lt;&gt;"")</formula>
    </cfRule>
  </conditionalFormatting>
  <conditionalFormatting sqref="E104 D104:D106 A108:E108 A106:A107">
    <cfRule type="expression" dxfId="31" priority="46">
      <formula>AND($A102&lt;&gt;"COMPOSICAO",$A102&lt;&gt;"INSUMO",$A102&lt;&gt;"")</formula>
    </cfRule>
    <cfRule type="expression" dxfId="30" priority="47">
      <formula>AND(OR($A102="COMPOSICAO",$A102="INSUMO",$A102&lt;&gt;""),$A102&lt;&gt;"")</formula>
    </cfRule>
  </conditionalFormatting>
  <conditionalFormatting sqref="E112 D112:D114 A114:A115">
    <cfRule type="expression" dxfId="29" priority="48">
      <formula>AND($A110&lt;&gt;"COMPOSICAO",$A110&lt;&gt;"INSUMO",$A110&lt;&gt;"")</formula>
    </cfRule>
    <cfRule type="expression" dxfId="28" priority="49">
      <formula>AND(OR($A110="COMPOSICAO",$A110="INSUMO",$A110&lt;&gt;""),$A110&lt;&gt;"")</formula>
    </cfRule>
  </conditionalFormatting>
  <conditionalFormatting sqref="A100:E101">
    <cfRule type="expression" dxfId="27" priority="50">
      <formula>AND($A100&lt;&gt;"COMPOSICAO",$A100&lt;&gt;"INSUMO",$A100&lt;&gt;"")</formula>
    </cfRule>
    <cfRule type="expression" dxfId="26" priority="51">
      <formula>AND(OR($A100="COMPOSICAO",$A100="INSUMO",$A100&lt;&gt;""),$A100&lt;&gt;"")</formula>
    </cfRule>
  </conditionalFormatting>
  <conditionalFormatting sqref="A100">
    <cfRule type="expression" dxfId="25" priority="52">
      <formula>AND($A100&lt;&gt;"COMPOSICAO",$A100&lt;&gt;"INSUMO",$A100&lt;&gt;"")</formula>
    </cfRule>
    <cfRule type="expression" dxfId="24" priority="53">
      <formula>AND(OR($A100="COMPOSICAO",$A100="INSUMO",$A100&lt;&gt;""),$A100&lt;&gt;"")</formula>
    </cfRule>
  </conditionalFormatting>
  <conditionalFormatting sqref="B100:C100">
    <cfRule type="expression" dxfId="23" priority="54">
      <formula>AND($A100&lt;&gt;"COMPOSICAO",$A100&lt;&gt;"INSUMO",$A100&lt;&gt;"")</formula>
    </cfRule>
    <cfRule type="expression" dxfId="22" priority="55">
      <formula>AND(OR($A100="COMPOSICAO",$A100="INSUMO",$A100&lt;&gt;""),$A100&lt;&gt;"")</formula>
    </cfRule>
  </conditionalFormatting>
  <conditionalFormatting sqref="A101:C101">
    <cfRule type="expression" dxfId="21" priority="56">
      <formula>AND($A101&lt;&gt;"COMPOSICAO",$A101&lt;&gt;"INSUMO",$A101&lt;&gt;"")</formula>
    </cfRule>
    <cfRule type="expression" dxfId="20" priority="57">
      <formula>AND(OR($A101="COMPOSICAO",$A101="INSUMO",$A101&lt;&gt;""),$A101&lt;&gt;"")</formula>
    </cfRule>
  </conditionalFormatting>
  <conditionalFormatting sqref="B101:C101">
    <cfRule type="expression" dxfId="19" priority="58">
      <formula>AND($A101&lt;&gt;"COMPOSICAO",$A101&lt;&gt;"INSUMO",$A101&lt;&gt;"")</formula>
    </cfRule>
    <cfRule type="expression" dxfId="18" priority="59">
      <formula>AND(OR($A101="COMPOSICAO",$A101="INSUMO",$A101&lt;&gt;""),$A101&lt;&gt;"")</formula>
    </cfRule>
  </conditionalFormatting>
  <conditionalFormatting sqref="E119 D119:D120 A126:E126 D123:D124 A124:A125">
    <cfRule type="expression" dxfId="17" priority="60">
      <formula>AND($A114&lt;&gt;"COMPOSICAO",$A114&lt;&gt;"INSUMO",$A114&lt;&gt;"")</formula>
    </cfRule>
    <cfRule type="expression" dxfId="16" priority="61">
      <formula>AND(OR($A114="COMPOSICAO",$A114="INSUMO",$A114&lt;&gt;""),$A114&lt;&gt;"")</formula>
    </cfRule>
  </conditionalFormatting>
  <conditionalFormatting sqref="E130 D130:D131 A136:E136 D133:D134 A134:A135">
    <cfRule type="expression" dxfId="15" priority="62">
      <formula>AND($A126&lt;&gt;"COMPOSICAO",$A126&lt;&gt;"INSUMO",$A126&lt;&gt;"")</formula>
    </cfRule>
    <cfRule type="expression" dxfId="14" priority="63">
      <formula>AND(OR($A126="COMPOSICAO",$A126="INSUMO",$A126&lt;&gt;""),$A126&lt;&gt;"")</formula>
    </cfRule>
  </conditionalFormatting>
  <conditionalFormatting sqref="D134">
    <cfRule type="expression" dxfId="13" priority="64">
      <formula>AND($A134&lt;&gt;"COMPOSICAO",$A134&lt;&gt;"INSUMO",$A134&lt;&gt;"")</formula>
    </cfRule>
    <cfRule type="expression" dxfId="12" priority="65">
      <formula>AND(OR($A134="COMPOSICAO",$A134="INSUMO",$A134&lt;&gt;""),$A134&lt;&gt;"")</formula>
    </cfRule>
  </conditionalFormatting>
  <conditionalFormatting sqref="A151:E153 B150:E150 A157:E160 B156:E156">
    <cfRule type="expression" dxfId="11" priority="66">
      <formula>AND($A149&lt;&gt;"COMPOSICAO",$A149&lt;&gt;"INSUMO",$A149&lt;&gt;"")</formula>
    </cfRule>
    <cfRule type="expression" dxfId="10" priority="67">
      <formula>AND(OR($A149="COMPOSICAO",$A149="INSUMO",$A149&lt;&gt;""),$A149&lt;&gt;"")</formula>
    </cfRule>
  </conditionalFormatting>
  <conditionalFormatting sqref="B166:E166">
    <cfRule type="expression" dxfId="9" priority="68">
      <formula>AND($A166&lt;&gt;"COMPOSICAO",$A166&lt;&gt;"INSUMO",$A166&lt;&gt;"")</formula>
    </cfRule>
    <cfRule type="expression" dxfId="8" priority="69">
      <formula>AND(OR($A166="COMPOSICAO",$A166="INSUMO",$A166&lt;&gt;""),$A166&lt;&gt;"")</formula>
    </cfRule>
  </conditionalFormatting>
  <conditionalFormatting sqref="A178:E183">
    <cfRule type="expression" dxfId="7" priority="70">
      <formula>AND($A178&lt;&gt;"COMPOSICAO",$A178&lt;&gt;"INSUMO",$A178&lt;&gt;"")</formula>
    </cfRule>
    <cfRule type="expression" dxfId="6" priority="71">
      <formula>AND(OR($A178="COMPOSICAO",$A178="INSUMO",$A178&lt;&gt;""),$A178&lt;&gt;"")</formula>
    </cfRule>
  </conditionalFormatting>
  <conditionalFormatting sqref="B177:E177">
    <cfRule type="expression" dxfId="5" priority="72">
      <formula>AND($A177&lt;&gt;"COMPOSICAO",$A177&lt;&gt;"INSUMO",$A177&lt;&gt;"")</formula>
    </cfRule>
    <cfRule type="expression" dxfId="4" priority="73">
      <formula>AND(OR($A177="COMPOSICAO",$A177="INSUMO",$A177&lt;&gt;""),$A177&lt;&gt;"")</formula>
    </cfRule>
  </conditionalFormatting>
  <conditionalFormatting sqref="A189:E194">
    <cfRule type="expression" dxfId="3" priority="74">
      <formula>AND($A189&lt;&gt;"COMPOSICAO",$A189&lt;&gt;"INSUMO",$A189&lt;&gt;"")</formula>
    </cfRule>
    <cfRule type="expression" dxfId="2" priority="75">
      <formula>AND(OR($A189="COMPOSICAO",$A189="INSUMO",$A189&lt;&gt;""),$A189&lt;&gt;"")</formula>
    </cfRule>
  </conditionalFormatting>
  <conditionalFormatting sqref="B188:E188">
    <cfRule type="expression" dxfId="1" priority="76">
      <formula>AND($A188&lt;&gt;"COMPOSICAO",$A188&lt;&gt;"INSUMO",$A188&lt;&gt;"")</formula>
    </cfRule>
    <cfRule type="expression" dxfId="0" priority="77">
      <formula>AND(OR($A188="COMPOSICAO",$A188="INSUMO",$A188&lt;&gt;""),$A188&lt;&gt;"")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MK143"/>
  <sheetViews>
    <sheetView topLeftCell="A127" zoomScaleNormal="100" workbookViewId="0">
      <selection activeCell="C140" sqref="C140"/>
    </sheetView>
  </sheetViews>
  <sheetFormatPr defaultRowHeight="15"/>
  <cols>
    <col min="1" max="2" width="8.7109375" style="204" customWidth="1"/>
    <col min="3" max="3" width="17.5703125" style="204" customWidth="1"/>
    <col min="4" max="4" width="48" style="204" customWidth="1"/>
    <col min="5" max="7" width="8.7109375" style="204" customWidth="1"/>
    <col min="8" max="8" width="12.140625" style="204" customWidth="1"/>
    <col min="9" max="9" width="8.7109375" style="204" customWidth="1"/>
    <col min="10" max="10" width="28.28515625" style="204" customWidth="1"/>
    <col min="11" max="1025" width="8.7109375" style="204" customWidth="1"/>
  </cols>
  <sheetData>
    <row r="2" spans="2:16" ht="14.65" customHeight="1">
      <c r="B2" s="413" t="s">
        <v>433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</row>
    <row r="3" spans="2:16">
      <c r="B3" s="205"/>
      <c r="C3" s="206" t="s">
        <v>434</v>
      </c>
      <c r="D3" s="207" t="s">
        <v>435</v>
      </c>
      <c r="E3" s="206" t="s">
        <v>65</v>
      </c>
      <c r="F3" s="206" t="s">
        <v>436</v>
      </c>
      <c r="G3" s="206" t="s">
        <v>437</v>
      </c>
      <c r="H3" s="207" t="s">
        <v>438</v>
      </c>
      <c r="I3" s="206" t="s">
        <v>434</v>
      </c>
      <c r="J3" s="207" t="s">
        <v>435</v>
      </c>
      <c r="K3" s="206" t="s">
        <v>65</v>
      </c>
      <c r="L3" s="206" t="s">
        <v>436</v>
      </c>
      <c r="M3" s="206" t="s">
        <v>439</v>
      </c>
      <c r="N3" s="206" t="s">
        <v>440</v>
      </c>
      <c r="O3" s="206" t="s">
        <v>441</v>
      </c>
    </row>
    <row r="4" spans="2:16" ht="51">
      <c r="B4" s="208"/>
      <c r="C4" s="208" t="s">
        <v>211</v>
      </c>
      <c r="D4" s="209" t="s">
        <v>442</v>
      </c>
      <c r="E4" s="210" t="s">
        <v>65</v>
      </c>
      <c r="F4" s="208" t="s">
        <v>18</v>
      </c>
      <c r="G4" s="211">
        <f>O$9</f>
        <v>3112.8759799999998</v>
      </c>
      <c r="H4" s="212"/>
      <c r="I4" s="213"/>
      <c r="J4" s="212"/>
      <c r="K4" s="214"/>
      <c r="L4" s="213"/>
      <c r="M4" s="214"/>
      <c r="N4" s="214"/>
      <c r="O4" s="215"/>
      <c r="P4" s="214"/>
    </row>
    <row r="5" spans="2:16" ht="63.75">
      <c r="B5" s="208"/>
      <c r="C5" s="208" t="s">
        <v>211</v>
      </c>
      <c r="D5" s="209" t="s">
        <v>442</v>
      </c>
      <c r="E5" s="210" t="s">
        <v>65</v>
      </c>
      <c r="F5" s="208" t="s">
        <v>18</v>
      </c>
      <c r="G5" s="211">
        <f>O$9</f>
        <v>3112.8759799999998</v>
      </c>
      <c r="H5" s="208" t="s">
        <v>306</v>
      </c>
      <c r="I5" s="210">
        <v>39756</v>
      </c>
      <c r="J5" s="209" t="s">
        <v>443</v>
      </c>
      <c r="K5" s="208" t="s">
        <v>65</v>
      </c>
      <c r="L5" s="208" t="s">
        <v>18</v>
      </c>
      <c r="M5" s="210">
        <v>1</v>
      </c>
      <c r="N5" s="211">
        <v>3074.14</v>
      </c>
      <c r="O5" s="211">
        <f>M5*N5</f>
        <v>3074.14</v>
      </c>
      <c r="P5" s="214"/>
    </row>
    <row r="6" spans="2:16" ht="89.25">
      <c r="B6" s="208"/>
      <c r="C6" s="208" t="s">
        <v>211</v>
      </c>
      <c r="D6" s="209" t="s">
        <v>442</v>
      </c>
      <c r="E6" s="210" t="s">
        <v>65</v>
      </c>
      <c r="F6" s="208" t="s">
        <v>18</v>
      </c>
      <c r="G6" s="211">
        <f>O$9</f>
        <v>3112.8759799999998</v>
      </c>
      <c r="H6" s="208" t="s">
        <v>192</v>
      </c>
      <c r="I6" s="210">
        <v>87367</v>
      </c>
      <c r="J6" s="209" t="s">
        <v>444</v>
      </c>
      <c r="K6" s="208" t="s">
        <v>23</v>
      </c>
      <c r="L6" s="208" t="s">
        <v>445</v>
      </c>
      <c r="M6" s="210">
        <v>1.9400000000000001E-2</v>
      </c>
      <c r="N6" s="211">
        <v>569.75</v>
      </c>
      <c r="O6" s="211">
        <f>M6*N6</f>
        <v>11.05315</v>
      </c>
      <c r="P6" s="214"/>
    </row>
    <row r="7" spans="2:16" ht="63.75">
      <c r="B7" s="208"/>
      <c r="C7" s="208" t="s">
        <v>211</v>
      </c>
      <c r="D7" s="209" t="s">
        <v>442</v>
      </c>
      <c r="E7" s="210" t="s">
        <v>65</v>
      </c>
      <c r="F7" s="208" t="s">
        <v>18</v>
      </c>
      <c r="G7" s="211">
        <f>O$9</f>
        <v>3112.8759799999998</v>
      </c>
      <c r="H7" s="208" t="s">
        <v>192</v>
      </c>
      <c r="I7" s="210">
        <v>88247</v>
      </c>
      <c r="J7" s="208" t="s">
        <v>446</v>
      </c>
      <c r="K7" s="208" t="s">
        <v>298</v>
      </c>
      <c r="L7" s="208" t="s">
        <v>445</v>
      </c>
      <c r="M7" s="210">
        <v>0.63419999999999999</v>
      </c>
      <c r="N7" s="210">
        <v>20.420000000000002</v>
      </c>
      <c r="O7" s="211">
        <f>M7*N7</f>
        <v>12.950364</v>
      </c>
      <c r="P7" s="214"/>
    </row>
    <row r="8" spans="2:16" ht="51">
      <c r="B8" s="208"/>
      <c r="C8" s="208" t="s">
        <v>211</v>
      </c>
      <c r="D8" s="209" t="s">
        <v>442</v>
      </c>
      <c r="E8" s="210" t="s">
        <v>65</v>
      </c>
      <c r="F8" s="208" t="s">
        <v>18</v>
      </c>
      <c r="G8" s="211">
        <f>O$9</f>
        <v>3112.8759799999998</v>
      </c>
      <c r="H8" s="208" t="s">
        <v>192</v>
      </c>
      <c r="I8" s="210">
        <v>88264</v>
      </c>
      <c r="J8" s="208" t="s">
        <v>369</v>
      </c>
      <c r="K8" s="208" t="s">
        <v>298</v>
      </c>
      <c r="L8" s="208" t="s">
        <v>447</v>
      </c>
      <c r="M8" s="210">
        <v>0.63419999999999999</v>
      </c>
      <c r="N8" s="210">
        <v>23.23</v>
      </c>
      <c r="O8" s="211">
        <f>M8*N8</f>
        <v>14.732466000000001</v>
      </c>
      <c r="P8" s="214"/>
    </row>
    <row r="9" spans="2:16">
      <c r="B9" s="213"/>
      <c r="C9" s="213"/>
      <c r="D9" s="216"/>
      <c r="E9" s="213"/>
      <c r="F9" s="213"/>
      <c r="G9" s="213"/>
      <c r="H9" s="212"/>
      <c r="I9" s="213"/>
      <c r="J9" s="212"/>
      <c r="K9" s="214"/>
      <c r="L9" s="213"/>
      <c r="M9" s="214"/>
      <c r="N9" s="214"/>
      <c r="O9" s="211">
        <f>SUM(O5:O8)</f>
        <v>3112.8759799999998</v>
      </c>
      <c r="P9" s="214"/>
    </row>
    <row r="11" spans="2:16" ht="63.75">
      <c r="B11" s="213"/>
      <c r="C11" s="208" t="s">
        <v>222</v>
      </c>
      <c r="D11" s="209" t="s">
        <v>448</v>
      </c>
      <c r="E11" s="210" t="s">
        <v>47</v>
      </c>
      <c r="F11" s="208" t="s">
        <v>445</v>
      </c>
      <c r="G11" s="211">
        <f t="shared" ref="G11:G17" si="0">O$18</f>
        <v>95.062444150000019</v>
      </c>
      <c r="H11" s="212"/>
      <c r="I11" s="213"/>
      <c r="J11" s="212"/>
      <c r="K11" s="214"/>
      <c r="L11" s="213"/>
      <c r="M11" s="214"/>
      <c r="N11" s="214"/>
      <c r="O11" s="215"/>
      <c r="P11" s="214"/>
    </row>
    <row r="12" spans="2:16" ht="63.75">
      <c r="B12" s="213"/>
      <c r="C12" s="208" t="s">
        <v>222</v>
      </c>
      <c r="D12" s="209" t="s">
        <v>448</v>
      </c>
      <c r="E12" s="210" t="s">
        <v>47</v>
      </c>
      <c r="F12" s="208" t="s">
        <v>445</v>
      </c>
      <c r="G12" s="211">
        <f t="shared" si="0"/>
        <v>95.062444150000019</v>
      </c>
      <c r="H12" s="208" t="s">
        <v>306</v>
      </c>
      <c r="I12" s="210" t="s">
        <v>449</v>
      </c>
      <c r="J12" s="208" t="s">
        <v>450</v>
      </c>
      <c r="K12" s="208" t="s">
        <v>47</v>
      </c>
      <c r="L12" s="208" t="s">
        <v>449</v>
      </c>
      <c r="M12" s="210">
        <v>0.93600000000000005</v>
      </c>
      <c r="N12" s="211">
        <v>36.67</v>
      </c>
      <c r="O12" s="211">
        <f t="shared" ref="O12:O17" si="1">M12*N12</f>
        <v>34.323120000000003</v>
      </c>
      <c r="P12" s="214"/>
    </row>
    <row r="13" spans="2:16" ht="89.25">
      <c r="B13" s="213"/>
      <c r="C13" s="208" t="s">
        <v>222</v>
      </c>
      <c r="D13" s="209" t="s">
        <v>448</v>
      </c>
      <c r="E13" s="210" t="s">
        <v>47</v>
      </c>
      <c r="F13" s="208" t="s">
        <v>445</v>
      </c>
      <c r="G13" s="211">
        <f t="shared" si="0"/>
        <v>95.062444150000019</v>
      </c>
      <c r="H13" s="208" t="s">
        <v>334</v>
      </c>
      <c r="I13" s="210" t="s">
        <v>451</v>
      </c>
      <c r="J13" s="208" t="s">
        <v>452</v>
      </c>
      <c r="K13" s="208" t="s">
        <v>65</v>
      </c>
      <c r="L13" s="208" t="s">
        <v>449</v>
      </c>
      <c r="M13" s="210">
        <v>0.33300000000000002</v>
      </c>
      <c r="N13" s="211">
        <f>G20</f>
        <v>70.377550000000014</v>
      </c>
      <c r="O13" s="211">
        <f t="shared" si="1"/>
        <v>23.435724150000006</v>
      </c>
      <c r="P13" s="214"/>
    </row>
    <row r="14" spans="2:16" ht="76.5">
      <c r="B14" s="213"/>
      <c r="C14" s="208" t="s">
        <v>222</v>
      </c>
      <c r="D14" s="209" t="s">
        <v>448</v>
      </c>
      <c r="E14" s="210" t="s">
        <v>47</v>
      </c>
      <c r="F14" s="208" t="s">
        <v>445</v>
      </c>
      <c r="G14" s="211">
        <f t="shared" si="0"/>
        <v>95.062444150000019</v>
      </c>
      <c r="H14" s="208" t="s">
        <v>306</v>
      </c>
      <c r="I14" s="210">
        <v>39029</v>
      </c>
      <c r="J14" s="208" t="s">
        <v>453</v>
      </c>
      <c r="K14" s="208" t="s">
        <v>47</v>
      </c>
      <c r="L14" s="208" t="s">
        <v>449</v>
      </c>
      <c r="M14" s="210">
        <v>1</v>
      </c>
      <c r="N14" s="211">
        <v>25.78</v>
      </c>
      <c r="O14" s="211">
        <f t="shared" si="1"/>
        <v>25.78</v>
      </c>
      <c r="P14" s="214"/>
    </row>
    <row r="15" spans="2:16" ht="63.75">
      <c r="B15" s="213"/>
      <c r="C15" s="208" t="s">
        <v>222</v>
      </c>
      <c r="D15" s="209" t="s">
        <v>448</v>
      </c>
      <c r="E15" s="210" t="s">
        <v>47</v>
      </c>
      <c r="F15" s="208" t="s">
        <v>445</v>
      </c>
      <c r="G15" s="211">
        <f t="shared" si="0"/>
        <v>95.062444150000019</v>
      </c>
      <c r="H15" s="208" t="s">
        <v>306</v>
      </c>
      <c r="I15" s="210"/>
      <c r="J15" s="208" t="s">
        <v>454</v>
      </c>
      <c r="K15" s="208" t="s">
        <v>47</v>
      </c>
      <c r="L15" s="208" t="s">
        <v>449</v>
      </c>
      <c r="M15" s="210">
        <v>0</v>
      </c>
      <c r="N15" s="211">
        <v>0</v>
      </c>
      <c r="O15" s="211">
        <f t="shared" si="1"/>
        <v>0</v>
      </c>
      <c r="P15" s="214"/>
    </row>
    <row r="16" spans="2:16" ht="63.75">
      <c r="B16" s="213"/>
      <c r="C16" s="208" t="s">
        <v>222</v>
      </c>
      <c r="D16" s="209" t="s">
        <v>448</v>
      </c>
      <c r="E16" s="210" t="s">
        <v>47</v>
      </c>
      <c r="F16" s="208" t="s">
        <v>445</v>
      </c>
      <c r="G16" s="211">
        <f t="shared" si="0"/>
        <v>95.062444150000019</v>
      </c>
      <c r="H16" s="208" t="s">
        <v>192</v>
      </c>
      <c r="I16" s="210">
        <v>88247</v>
      </c>
      <c r="J16" s="208" t="s">
        <v>455</v>
      </c>
      <c r="K16" s="208" t="s">
        <v>298</v>
      </c>
      <c r="L16" s="208" t="s">
        <v>447</v>
      </c>
      <c r="M16" s="210">
        <v>0.26400000000000001</v>
      </c>
      <c r="N16" s="210">
        <v>20.420000000000002</v>
      </c>
      <c r="O16" s="211">
        <f t="shared" si="1"/>
        <v>5.390880000000001</v>
      </c>
      <c r="P16" s="214"/>
    </row>
    <row r="17" spans="2:16" ht="63.75">
      <c r="B17" s="213"/>
      <c r="C17" s="208" t="s">
        <v>222</v>
      </c>
      <c r="D17" s="209" t="s">
        <v>448</v>
      </c>
      <c r="E17" s="210" t="s">
        <v>47</v>
      </c>
      <c r="F17" s="208" t="s">
        <v>445</v>
      </c>
      <c r="G17" s="211">
        <f t="shared" si="0"/>
        <v>95.062444150000019</v>
      </c>
      <c r="H17" s="208" t="s">
        <v>192</v>
      </c>
      <c r="I17" s="210">
        <v>88264</v>
      </c>
      <c r="J17" s="208" t="s">
        <v>369</v>
      </c>
      <c r="K17" s="208" t="s">
        <v>298</v>
      </c>
      <c r="L17" s="208" t="s">
        <v>447</v>
      </c>
      <c r="M17" s="210">
        <v>0.26400000000000001</v>
      </c>
      <c r="N17" s="210">
        <v>23.23</v>
      </c>
      <c r="O17" s="211">
        <f t="shared" si="1"/>
        <v>6.1327200000000008</v>
      </c>
      <c r="P17" s="214"/>
    </row>
    <row r="18" spans="2:16">
      <c r="B18" s="213"/>
      <c r="C18" s="213"/>
      <c r="D18" s="216"/>
      <c r="E18" s="213"/>
      <c r="F18" s="213"/>
      <c r="G18" s="213"/>
      <c r="H18" s="212"/>
      <c r="I18" s="213"/>
      <c r="J18" s="212"/>
      <c r="K18" s="214"/>
      <c r="L18" s="213"/>
      <c r="M18" s="214"/>
      <c r="N18" s="214"/>
      <c r="O18" s="211">
        <f>SUM(O12:O17)</f>
        <v>95.062444150000019</v>
      </c>
      <c r="P18" s="214"/>
    </row>
    <row r="19" spans="2:16">
      <c r="B19" s="213"/>
      <c r="C19" s="213"/>
      <c r="D19" s="216"/>
      <c r="E19" s="213"/>
      <c r="F19" s="213"/>
      <c r="G19" s="213"/>
      <c r="H19" s="212"/>
      <c r="I19" s="213"/>
      <c r="J19" s="212"/>
      <c r="K19" s="214"/>
      <c r="L19" s="213"/>
      <c r="M19" s="214"/>
      <c r="N19" s="214"/>
      <c r="O19" s="211"/>
      <c r="P19" s="214"/>
    </row>
    <row r="20" spans="2:16" ht="63.75">
      <c r="B20" s="213"/>
      <c r="C20" s="208" t="s">
        <v>456</v>
      </c>
      <c r="D20" s="209" t="s">
        <v>452</v>
      </c>
      <c r="E20" s="210" t="s">
        <v>65</v>
      </c>
      <c r="F20" s="208" t="s">
        <v>445</v>
      </c>
      <c r="G20" s="211">
        <f t="shared" ref="G20:G27" si="2">O$28</f>
        <v>70.377550000000014</v>
      </c>
      <c r="H20" s="212"/>
      <c r="I20" s="213"/>
      <c r="J20" s="212"/>
      <c r="K20" s="214"/>
      <c r="L20" s="213"/>
      <c r="M20" s="214"/>
      <c r="N20" s="214"/>
      <c r="O20" s="215"/>
      <c r="P20" s="214"/>
    </row>
    <row r="21" spans="2:16" ht="89.25">
      <c r="B21" s="213"/>
      <c r="C21" s="208" t="s">
        <v>456</v>
      </c>
      <c r="D21" s="209" t="s">
        <v>452</v>
      </c>
      <c r="E21" s="210" t="s">
        <v>65</v>
      </c>
      <c r="F21" s="208" t="s">
        <v>445</v>
      </c>
      <c r="G21" s="211">
        <f t="shared" si="2"/>
        <v>70.377550000000014</v>
      </c>
      <c r="H21" s="208" t="s">
        <v>306</v>
      </c>
      <c r="I21" s="210" t="s">
        <v>449</v>
      </c>
      <c r="J21" s="208" t="s">
        <v>457</v>
      </c>
      <c r="K21" s="208" t="s">
        <v>65</v>
      </c>
      <c r="L21" s="208" t="s">
        <v>449</v>
      </c>
      <c r="M21" s="210">
        <v>1</v>
      </c>
      <c r="N21" s="211">
        <v>14.63</v>
      </c>
      <c r="O21" s="211">
        <f t="shared" ref="O21:O27" si="3">M21*N21</f>
        <v>14.63</v>
      </c>
      <c r="P21" s="214"/>
    </row>
    <row r="22" spans="2:16" ht="63.75">
      <c r="B22" s="213"/>
      <c r="C22" s="208" t="s">
        <v>456</v>
      </c>
      <c r="D22" s="209" t="s">
        <v>452</v>
      </c>
      <c r="E22" s="210" t="s">
        <v>65</v>
      </c>
      <c r="F22" s="208" t="s">
        <v>445</v>
      </c>
      <c r="G22" s="211">
        <f t="shared" si="2"/>
        <v>70.377550000000014</v>
      </c>
      <c r="H22" s="208" t="s">
        <v>306</v>
      </c>
      <c r="I22" s="210" t="s">
        <v>449</v>
      </c>
      <c r="J22" s="208" t="s">
        <v>458</v>
      </c>
      <c r="K22" s="208" t="s">
        <v>65</v>
      </c>
      <c r="L22" s="208" t="s">
        <v>449</v>
      </c>
      <c r="M22" s="210">
        <v>4</v>
      </c>
      <c r="N22" s="211">
        <v>1.76</v>
      </c>
      <c r="O22" s="211">
        <f t="shared" si="3"/>
        <v>7.04</v>
      </c>
      <c r="P22" s="214"/>
    </row>
    <row r="23" spans="2:16" ht="63.75">
      <c r="B23" s="213"/>
      <c r="C23" s="208" t="s">
        <v>456</v>
      </c>
      <c r="D23" s="209" t="s">
        <v>452</v>
      </c>
      <c r="E23" s="210" t="s">
        <v>65</v>
      </c>
      <c r="F23" s="208" t="s">
        <v>445</v>
      </c>
      <c r="G23" s="211">
        <f t="shared" si="2"/>
        <v>70.377550000000014</v>
      </c>
      <c r="H23" s="208" t="s">
        <v>306</v>
      </c>
      <c r="I23" s="210"/>
      <c r="J23" s="208" t="s">
        <v>459</v>
      </c>
      <c r="K23" s="208" t="s">
        <v>65</v>
      </c>
      <c r="L23" s="208" t="s">
        <v>449</v>
      </c>
      <c r="M23" s="210">
        <v>16.8</v>
      </c>
      <c r="N23" s="211">
        <v>0.53</v>
      </c>
      <c r="O23" s="211">
        <f t="shared" si="3"/>
        <v>8.9040000000000017</v>
      </c>
      <c r="P23" s="214"/>
    </row>
    <row r="24" spans="2:16" ht="63.75">
      <c r="B24" s="213"/>
      <c r="C24" s="208" t="s">
        <v>456</v>
      </c>
      <c r="D24" s="209" t="s">
        <v>452</v>
      </c>
      <c r="E24" s="210" t="s">
        <v>65</v>
      </c>
      <c r="F24" s="208" t="s">
        <v>445</v>
      </c>
      <c r="G24" s="211">
        <f t="shared" si="2"/>
        <v>70.377550000000014</v>
      </c>
      <c r="H24" s="208" t="s">
        <v>306</v>
      </c>
      <c r="I24" s="210"/>
      <c r="J24" s="208" t="s">
        <v>460</v>
      </c>
      <c r="K24" s="208" t="s">
        <v>65</v>
      </c>
      <c r="L24" s="208" t="s">
        <v>449</v>
      </c>
      <c r="M24" s="210">
        <v>16.8</v>
      </c>
      <c r="N24" s="211">
        <v>0.8</v>
      </c>
      <c r="O24" s="211">
        <f t="shared" si="3"/>
        <v>13.440000000000001</v>
      </c>
      <c r="P24" s="214"/>
    </row>
    <row r="25" spans="2:16" ht="63.75">
      <c r="B25" s="213"/>
      <c r="C25" s="208" t="s">
        <v>456</v>
      </c>
      <c r="D25" s="209" t="s">
        <v>452</v>
      </c>
      <c r="E25" s="210" t="s">
        <v>65</v>
      </c>
      <c r="F25" s="208" t="s">
        <v>445</v>
      </c>
      <c r="G25" s="211">
        <f t="shared" si="2"/>
        <v>70.377550000000014</v>
      </c>
      <c r="H25" s="208" t="s">
        <v>306</v>
      </c>
      <c r="I25" s="210"/>
      <c r="J25" s="208" t="s">
        <v>461</v>
      </c>
      <c r="K25" s="208" t="s">
        <v>65</v>
      </c>
      <c r="L25" s="208" t="s">
        <v>449</v>
      </c>
      <c r="M25" s="210">
        <v>16.8</v>
      </c>
      <c r="N25" s="211">
        <v>0.2</v>
      </c>
      <c r="O25" s="211">
        <f t="shared" si="3"/>
        <v>3.3600000000000003</v>
      </c>
      <c r="P25" s="214"/>
    </row>
    <row r="26" spans="2:16" ht="63.75">
      <c r="B26" s="213"/>
      <c r="C26" s="208" t="s">
        <v>456</v>
      </c>
      <c r="D26" s="209" t="s">
        <v>452</v>
      </c>
      <c r="E26" s="210" t="s">
        <v>65</v>
      </c>
      <c r="F26" s="208" t="s">
        <v>445</v>
      </c>
      <c r="G26" s="211">
        <f t="shared" si="2"/>
        <v>70.377550000000014</v>
      </c>
      <c r="H26" s="208" t="s">
        <v>192</v>
      </c>
      <c r="I26" s="210">
        <v>88247</v>
      </c>
      <c r="J26" s="208" t="s">
        <v>455</v>
      </c>
      <c r="K26" s="208" t="s">
        <v>298</v>
      </c>
      <c r="L26" s="208" t="s">
        <v>447</v>
      </c>
      <c r="M26" s="210">
        <v>0.52700000000000002</v>
      </c>
      <c r="N26" s="210">
        <v>20.420000000000002</v>
      </c>
      <c r="O26" s="211">
        <f t="shared" si="3"/>
        <v>10.761340000000001</v>
      </c>
      <c r="P26" s="214"/>
    </row>
    <row r="27" spans="2:16" ht="63.75">
      <c r="B27" s="213"/>
      <c r="C27" s="208" t="s">
        <v>456</v>
      </c>
      <c r="D27" s="209" t="s">
        <v>452</v>
      </c>
      <c r="E27" s="210" t="s">
        <v>65</v>
      </c>
      <c r="F27" s="208" t="s">
        <v>445</v>
      </c>
      <c r="G27" s="211">
        <f t="shared" si="2"/>
        <v>70.377550000000014</v>
      </c>
      <c r="H27" s="208" t="s">
        <v>192</v>
      </c>
      <c r="I27" s="210">
        <v>88264</v>
      </c>
      <c r="J27" s="208" t="s">
        <v>369</v>
      </c>
      <c r="K27" s="208" t="s">
        <v>298</v>
      </c>
      <c r="L27" s="208" t="s">
        <v>447</v>
      </c>
      <c r="M27" s="210">
        <v>0.52700000000000002</v>
      </c>
      <c r="N27" s="210">
        <v>23.23</v>
      </c>
      <c r="O27" s="211">
        <f t="shared" si="3"/>
        <v>12.24221</v>
      </c>
      <c r="P27" s="214"/>
    </row>
    <row r="28" spans="2:16">
      <c r="B28" s="213"/>
      <c r="C28" s="213"/>
      <c r="D28" s="216"/>
      <c r="E28" s="213"/>
      <c r="F28" s="213"/>
      <c r="G28" s="213"/>
      <c r="H28" s="212"/>
      <c r="I28" s="213"/>
      <c r="J28" s="212"/>
      <c r="K28" s="214"/>
      <c r="L28" s="213"/>
      <c r="M28" s="214"/>
      <c r="N28" s="214"/>
      <c r="O28" s="211">
        <f>SUM(O21:O27)</f>
        <v>70.377550000000014</v>
      </c>
      <c r="P28" s="214"/>
    </row>
    <row r="30" spans="2:16" ht="63.75">
      <c r="B30" s="213"/>
      <c r="C30" s="208" t="s">
        <v>224</v>
      </c>
      <c r="D30" s="217" t="s">
        <v>225</v>
      </c>
      <c r="E30" s="210" t="s">
        <v>65</v>
      </c>
      <c r="F30" s="208" t="s">
        <v>445</v>
      </c>
      <c r="G30" s="211">
        <f t="shared" ref="G30:G36" si="4">O$37</f>
        <v>14.351499999999998</v>
      </c>
      <c r="H30" s="212"/>
      <c r="I30" s="213"/>
      <c r="J30" s="212"/>
      <c r="K30" s="214"/>
      <c r="L30" s="213"/>
      <c r="M30" s="214"/>
      <c r="N30" s="214"/>
      <c r="O30" s="215"/>
      <c r="P30" s="214"/>
    </row>
    <row r="31" spans="2:16" ht="63.75">
      <c r="B31" s="213"/>
      <c r="C31" s="208" t="s">
        <v>224</v>
      </c>
      <c r="D31" s="217" t="s">
        <v>225</v>
      </c>
      <c r="E31" s="210" t="s">
        <v>65</v>
      </c>
      <c r="F31" s="208" t="s">
        <v>445</v>
      </c>
      <c r="G31" s="211">
        <f t="shared" si="4"/>
        <v>14.351499999999998</v>
      </c>
      <c r="H31" s="208" t="s">
        <v>306</v>
      </c>
      <c r="I31" s="210" t="s">
        <v>449</v>
      </c>
      <c r="J31" s="217" t="s">
        <v>225</v>
      </c>
      <c r="K31" s="208" t="s">
        <v>65</v>
      </c>
      <c r="L31" s="208" t="s">
        <v>449</v>
      </c>
      <c r="M31" s="210">
        <v>1</v>
      </c>
      <c r="N31" s="211">
        <v>4.8899999999999997</v>
      </c>
      <c r="O31" s="211">
        <f t="shared" ref="O31:O36" si="5">M31*N31</f>
        <v>4.8899999999999997</v>
      </c>
      <c r="P31" s="214"/>
    </row>
    <row r="32" spans="2:16" ht="63.75">
      <c r="B32" s="213"/>
      <c r="C32" s="208" t="s">
        <v>224</v>
      </c>
      <c r="D32" s="217" t="s">
        <v>225</v>
      </c>
      <c r="E32" s="210" t="s">
        <v>65</v>
      </c>
      <c r="F32" s="208" t="s">
        <v>445</v>
      </c>
      <c r="G32" s="211">
        <f t="shared" si="4"/>
        <v>14.351499999999998</v>
      </c>
      <c r="H32" s="208" t="s">
        <v>306</v>
      </c>
      <c r="I32" s="210"/>
      <c r="J32" s="208" t="s">
        <v>459</v>
      </c>
      <c r="K32" s="208" t="s">
        <v>65</v>
      </c>
      <c r="L32" s="208" t="s">
        <v>449</v>
      </c>
      <c r="M32" s="210">
        <v>2</v>
      </c>
      <c r="N32" s="211">
        <v>0.53</v>
      </c>
      <c r="O32" s="211">
        <f t="shared" si="5"/>
        <v>1.06</v>
      </c>
      <c r="P32" s="214"/>
    </row>
    <row r="33" spans="2:16" ht="63.75">
      <c r="B33" s="213"/>
      <c r="C33" s="208" t="s">
        <v>224</v>
      </c>
      <c r="D33" s="217" t="s">
        <v>225</v>
      </c>
      <c r="E33" s="210" t="s">
        <v>65</v>
      </c>
      <c r="F33" s="208" t="s">
        <v>445</v>
      </c>
      <c r="G33" s="211">
        <f t="shared" si="4"/>
        <v>14.351499999999998</v>
      </c>
      <c r="H33" s="208" t="s">
        <v>306</v>
      </c>
      <c r="I33" s="210"/>
      <c r="J33" s="208" t="s">
        <v>460</v>
      </c>
      <c r="K33" s="208" t="s">
        <v>65</v>
      </c>
      <c r="L33" s="208" t="s">
        <v>449</v>
      </c>
      <c r="M33" s="210">
        <v>4</v>
      </c>
      <c r="N33" s="211">
        <v>0.8</v>
      </c>
      <c r="O33" s="211">
        <f t="shared" si="5"/>
        <v>3.2</v>
      </c>
      <c r="P33" s="214"/>
    </row>
    <row r="34" spans="2:16" ht="63.75">
      <c r="B34" s="213"/>
      <c r="C34" s="208" t="s">
        <v>224</v>
      </c>
      <c r="D34" s="217" t="s">
        <v>225</v>
      </c>
      <c r="E34" s="210" t="s">
        <v>65</v>
      </c>
      <c r="F34" s="208" t="s">
        <v>445</v>
      </c>
      <c r="G34" s="211">
        <f t="shared" si="4"/>
        <v>14.351499999999998</v>
      </c>
      <c r="H34" s="208" t="s">
        <v>306</v>
      </c>
      <c r="I34" s="210"/>
      <c r="J34" s="208" t="s">
        <v>461</v>
      </c>
      <c r="K34" s="208" t="s">
        <v>65</v>
      </c>
      <c r="L34" s="208" t="s">
        <v>449</v>
      </c>
      <c r="M34" s="210">
        <v>2</v>
      </c>
      <c r="N34" s="211">
        <v>0.2</v>
      </c>
      <c r="O34" s="211">
        <f t="shared" si="5"/>
        <v>0.4</v>
      </c>
      <c r="P34" s="214"/>
    </row>
    <row r="35" spans="2:16" ht="63.75">
      <c r="B35" s="213"/>
      <c r="C35" s="208" t="s">
        <v>224</v>
      </c>
      <c r="D35" s="217" t="s">
        <v>225</v>
      </c>
      <c r="E35" s="210" t="s">
        <v>65</v>
      </c>
      <c r="F35" s="208" t="s">
        <v>445</v>
      </c>
      <c r="G35" s="211">
        <f t="shared" si="4"/>
        <v>14.351499999999998</v>
      </c>
      <c r="H35" s="208" t="s">
        <v>192</v>
      </c>
      <c r="I35" s="210">
        <v>88247</v>
      </c>
      <c r="J35" s="208" t="s">
        <v>455</v>
      </c>
      <c r="K35" s="208" t="s">
        <v>298</v>
      </c>
      <c r="L35" s="208" t="s">
        <v>447</v>
      </c>
      <c r="M35" s="210">
        <v>0.11</v>
      </c>
      <c r="N35" s="210">
        <v>20.420000000000002</v>
      </c>
      <c r="O35" s="211">
        <f t="shared" si="5"/>
        <v>2.2462000000000004</v>
      </c>
      <c r="P35" s="214"/>
    </row>
    <row r="36" spans="2:16" ht="63.75">
      <c r="B36" s="213"/>
      <c r="C36" s="208" t="s">
        <v>224</v>
      </c>
      <c r="D36" s="217" t="s">
        <v>225</v>
      </c>
      <c r="E36" s="210" t="s">
        <v>65</v>
      </c>
      <c r="F36" s="208" t="s">
        <v>445</v>
      </c>
      <c r="G36" s="211">
        <f t="shared" si="4"/>
        <v>14.351499999999998</v>
      </c>
      <c r="H36" s="208" t="s">
        <v>192</v>
      </c>
      <c r="I36" s="210">
        <v>88264</v>
      </c>
      <c r="J36" s="208" t="s">
        <v>369</v>
      </c>
      <c r="K36" s="208" t="s">
        <v>298</v>
      </c>
      <c r="L36" s="208" t="s">
        <v>447</v>
      </c>
      <c r="M36" s="210">
        <v>0.11</v>
      </c>
      <c r="N36" s="210">
        <v>23.23</v>
      </c>
      <c r="O36" s="211">
        <f t="shared" si="5"/>
        <v>2.5552999999999999</v>
      </c>
      <c r="P36" s="214"/>
    </row>
    <row r="37" spans="2:16">
      <c r="B37" s="213"/>
      <c r="C37" s="213"/>
      <c r="D37" s="216"/>
      <c r="E37" s="213"/>
      <c r="F37" s="213"/>
      <c r="G37" s="213"/>
      <c r="H37" s="212"/>
      <c r="I37" s="213"/>
      <c r="J37" s="212"/>
      <c r="K37" s="214"/>
      <c r="L37" s="213"/>
      <c r="M37" s="214"/>
      <c r="N37" s="214"/>
      <c r="O37" s="211">
        <f>SUM(O31:O36)</f>
        <v>14.351499999999998</v>
      </c>
      <c r="P37" s="214"/>
    </row>
    <row r="39" spans="2:16" ht="38.25">
      <c r="B39" s="208"/>
      <c r="C39" s="208" t="s">
        <v>228</v>
      </c>
      <c r="D39" s="209" t="s">
        <v>229</v>
      </c>
      <c r="E39" s="210" t="s">
        <v>65</v>
      </c>
      <c r="F39" s="208" t="s">
        <v>18</v>
      </c>
      <c r="G39" s="211">
        <f>O$44</f>
        <v>273.86113299999994</v>
      </c>
      <c r="H39" s="212"/>
      <c r="I39" s="213"/>
      <c r="J39" s="212"/>
      <c r="K39" s="214"/>
      <c r="L39" s="213"/>
      <c r="M39" s="214"/>
      <c r="N39" s="214"/>
      <c r="O39" s="215"/>
      <c r="P39" s="214"/>
    </row>
    <row r="40" spans="2:16" ht="38.25">
      <c r="B40" s="208"/>
      <c r="C40" s="208" t="s">
        <v>228</v>
      </c>
      <c r="D40" s="209" t="s">
        <v>229</v>
      </c>
      <c r="E40" s="210" t="s">
        <v>65</v>
      </c>
      <c r="F40" s="208" t="s">
        <v>18</v>
      </c>
      <c r="G40" s="211">
        <f>O$44</f>
        <v>273.86113299999994</v>
      </c>
      <c r="H40" s="208" t="s">
        <v>306</v>
      </c>
      <c r="I40" s="210" t="s">
        <v>449</v>
      </c>
      <c r="J40" s="209" t="s">
        <v>462</v>
      </c>
      <c r="K40" s="208" t="s">
        <v>65</v>
      </c>
      <c r="L40" s="208" t="s">
        <v>18</v>
      </c>
      <c r="M40" s="210">
        <v>1</v>
      </c>
      <c r="N40" s="211">
        <v>240.35</v>
      </c>
      <c r="O40" s="211">
        <f>M40*N40</f>
        <v>240.35</v>
      </c>
      <c r="P40" s="214"/>
    </row>
    <row r="41" spans="2:16" ht="63.75">
      <c r="B41" s="208"/>
      <c r="C41" s="208" t="s">
        <v>228</v>
      </c>
      <c r="D41" s="209" t="s">
        <v>229</v>
      </c>
      <c r="E41" s="210" t="s">
        <v>65</v>
      </c>
      <c r="F41" s="208" t="s">
        <v>18</v>
      </c>
      <c r="G41" s="211">
        <f>O$44</f>
        <v>273.86113299999994</v>
      </c>
      <c r="H41" s="208" t="s">
        <v>306</v>
      </c>
      <c r="I41" s="210">
        <v>39386</v>
      </c>
      <c r="J41" s="209" t="s">
        <v>463</v>
      </c>
      <c r="K41" s="208" t="s">
        <v>65</v>
      </c>
      <c r="L41" s="208" t="s">
        <v>445</v>
      </c>
      <c r="M41" s="210">
        <v>2</v>
      </c>
      <c r="N41" s="211">
        <v>11.12</v>
      </c>
      <c r="O41" s="211">
        <f>M41*N41</f>
        <v>22.24</v>
      </c>
      <c r="P41" s="214"/>
    </row>
    <row r="42" spans="2:16" ht="63.75">
      <c r="B42" s="208"/>
      <c r="C42" s="208" t="s">
        <v>228</v>
      </c>
      <c r="D42" s="209" t="s">
        <v>229</v>
      </c>
      <c r="E42" s="210" t="s">
        <v>65</v>
      </c>
      <c r="F42" s="208" t="s">
        <v>18</v>
      </c>
      <c r="G42" s="211">
        <f>O$44</f>
        <v>273.86113299999994</v>
      </c>
      <c r="H42" s="208" t="s">
        <v>192</v>
      </c>
      <c r="I42" s="210">
        <v>88247</v>
      </c>
      <c r="J42" s="208" t="s">
        <v>446</v>
      </c>
      <c r="K42" s="208" t="s">
        <v>298</v>
      </c>
      <c r="L42" s="208" t="s">
        <v>445</v>
      </c>
      <c r="M42" s="210">
        <v>0.14799999999999999</v>
      </c>
      <c r="N42" s="210">
        <v>20.420000000000002</v>
      </c>
      <c r="O42" s="211">
        <f>M42*N42</f>
        <v>3.02216</v>
      </c>
      <c r="P42" s="214"/>
    </row>
    <row r="43" spans="2:16" ht="38.25">
      <c r="B43" s="208"/>
      <c r="C43" s="208" t="s">
        <v>228</v>
      </c>
      <c r="D43" s="209" t="s">
        <v>229</v>
      </c>
      <c r="E43" s="210" t="s">
        <v>65</v>
      </c>
      <c r="F43" s="208" t="s">
        <v>18</v>
      </c>
      <c r="G43" s="211">
        <f>O$44</f>
        <v>273.86113299999994</v>
      </c>
      <c r="H43" s="208" t="s">
        <v>192</v>
      </c>
      <c r="I43" s="210">
        <v>88264</v>
      </c>
      <c r="J43" s="208" t="s">
        <v>369</v>
      </c>
      <c r="K43" s="208" t="s">
        <v>298</v>
      </c>
      <c r="L43" s="208" t="s">
        <v>447</v>
      </c>
      <c r="M43" s="210">
        <v>0.35510000000000003</v>
      </c>
      <c r="N43" s="210">
        <v>23.23</v>
      </c>
      <c r="O43" s="211">
        <f>M43*N43</f>
        <v>8.2489730000000012</v>
      </c>
      <c r="P43" s="214"/>
    </row>
    <row r="44" spans="2:16">
      <c r="B44" s="213"/>
      <c r="C44" s="213"/>
      <c r="D44" s="216"/>
      <c r="E44" s="213"/>
      <c r="F44" s="213"/>
      <c r="G44" s="213"/>
      <c r="H44" s="212"/>
      <c r="I44" s="213"/>
      <c r="J44" s="212"/>
      <c r="K44" s="214"/>
      <c r="L44" s="213"/>
      <c r="M44" s="214"/>
      <c r="N44" s="214"/>
      <c r="O44" s="211">
        <f>SUM(O40:O43)</f>
        <v>273.86113299999994</v>
      </c>
      <c r="P44" s="214"/>
    </row>
    <row r="46" spans="2:16" ht="25.5">
      <c r="B46" s="208"/>
      <c r="C46" s="208" t="s">
        <v>230</v>
      </c>
      <c r="D46" s="209" t="s">
        <v>464</v>
      </c>
      <c r="E46" s="210" t="s">
        <v>65</v>
      </c>
      <c r="F46" s="208" t="s">
        <v>18</v>
      </c>
      <c r="G46" s="211">
        <f>O$51</f>
        <v>118.23536700000001</v>
      </c>
      <c r="H46" s="212"/>
      <c r="I46" s="213"/>
      <c r="J46" s="212"/>
      <c r="K46" s="214"/>
      <c r="L46" s="213"/>
      <c r="M46" s="214"/>
      <c r="N46" s="214"/>
      <c r="O46" s="215"/>
      <c r="P46" s="214"/>
    </row>
    <row r="47" spans="2:16" ht="63.75">
      <c r="B47" s="208"/>
      <c r="C47" s="208" t="s">
        <v>230</v>
      </c>
      <c r="D47" s="209" t="s">
        <v>464</v>
      </c>
      <c r="E47" s="210" t="s">
        <v>65</v>
      </c>
      <c r="F47" s="208" t="s">
        <v>18</v>
      </c>
      <c r="G47" s="211">
        <f>O$51</f>
        <v>118.23536700000001</v>
      </c>
      <c r="H47" s="208" t="s">
        <v>306</v>
      </c>
      <c r="I47" s="210">
        <v>3803</v>
      </c>
      <c r="J47" s="209" t="s">
        <v>465</v>
      </c>
      <c r="K47" s="208" t="s">
        <v>65</v>
      </c>
      <c r="L47" s="208" t="s">
        <v>466</v>
      </c>
      <c r="M47" s="210">
        <v>1</v>
      </c>
      <c r="N47" s="211">
        <v>92.92</v>
      </c>
      <c r="O47" s="211">
        <f>M47*N47</f>
        <v>92.92</v>
      </c>
      <c r="P47" s="214"/>
    </row>
    <row r="48" spans="2:16" ht="38.25">
      <c r="B48" s="208"/>
      <c r="C48" s="208" t="s">
        <v>230</v>
      </c>
      <c r="D48" s="209" t="s">
        <v>464</v>
      </c>
      <c r="E48" s="210" t="s">
        <v>65</v>
      </c>
      <c r="F48" s="208" t="s">
        <v>18</v>
      </c>
      <c r="G48" s="211">
        <f>O$51</f>
        <v>118.23536700000001</v>
      </c>
      <c r="H48" s="208" t="s">
        <v>306</v>
      </c>
      <c r="I48" s="210">
        <v>38194</v>
      </c>
      <c r="J48" s="209" t="s">
        <v>467</v>
      </c>
      <c r="K48" s="208" t="s">
        <v>65</v>
      </c>
      <c r="L48" s="208" t="s">
        <v>447</v>
      </c>
      <c r="M48" s="210">
        <v>1</v>
      </c>
      <c r="N48" s="211">
        <v>8.32</v>
      </c>
      <c r="O48" s="211">
        <f>M48*N48</f>
        <v>8.32</v>
      </c>
      <c r="P48" s="214"/>
    </row>
    <row r="49" spans="2:16" ht="63.75">
      <c r="B49" s="208"/>
      <c r="C49" s="208" t="s">
        <v>230</v>
      </c>
      <c r="D49" s="209" t="s">
        <v>464</v>
      </c>
      <c r="E49" s="210" t="s">
        <v>65</v>
      </c>
      <c r="F49" s="208" t="s">
        <v>18</v>
      </c>
      <c r="G49" s="211">
        <f>O$51</f>
        <v>118.23536700000001</v>
      </c>
      <c r="H49" s="208" t="s">
        <v>192</v>
      </c>
      <c r="I49" s="210">
        <v>88247</v>
      </c>
      <c r="J49" s="208" t="s">
        <v>446</v>
      </c>
      <c r="K49" s="208" t="s">
        <v>298</v>
      </c>
      <c r="L49" s="208" t="s">
        <v>445</v>
      </c>
      <c r="M49" s="210">
        <v>0.22309999999999999</v>
      </c>
      <c r="N49" s="210">
        <v>20.420000000000002</v>
      </c>
      <c r="O49" s="211">
        <f>M49*N49</f>
        <v>4.5557020000000001</v>
      </c>
      <c r="P49" s="214"/>
    </row>
    <row r="50" spans="2:16" ht="25.5">
      <c r="B50" s="208"/>
      <c r="C50" s="208" t="s">
        <v>230</v>
      </c>
      <c r="D50" s="209" t="s">
        <v>464</v>
      </c>
      <c r="E50" s="210" t="s">
        <v>65</v>
      </c>
      <c r="F50" s="208" t="s">
        <v>18</v>
      </c>
      <c r="G50" s="211">
        <f>O$51</f>
        <v>118.23536700000001</v>
      </c>
      <c r="H50" s="208" t="s">
        <v>192</v>
      </c>
      <c r="I50" s="210">
        <v>88264</v>
      </c>
      <c r="J50" s="208" t="s">
        <v>369</v>
      </c>
      <c r="K50" s="208" t="s">
        <v>298</v>
      </c>
      <c r="L50" s="208" t="s">
        <v>447</v>
      </c>
      <c r="M50" s="210">
        <v>0.53549999999999998</v>
      </c>
      <c r="N50" s="210">
        <v>23.23</v>
      </c>
      <c r="O50" s="211">
        <f>M50*N50</f>
        <v>12.439665</v>
      </c>
      <c r="P50" s="214"/>
    </row>
    <row r="51" spans="2:16">
      <c r="B51" s="213"/>
      <c r="C51" s="213"/>
      <c r="D51" s="216"/>
      <c r="E51" s="213"/>
      <c r="F51" s="213"/>
      <c r="G51" s="213"/>
      <c r="H51" s="212"/>
      <c r="I51" s="213"/>
      <c r="J51" s="212"/>
      <c r="K51" s="214"/>
      <c r="L51" s="213"/>
      <c r="M51" s="214"/>
      <c r="N51" s="214"/>
      <c r="O51" s="211">
        <f>SUM(O47:O50)</f>
        <v>118.23536700000001</v>
      </c>
      <c r="P51" s="214"/>
    </row>
    <row r="53" spans="2:16" ht="25.5">
      <c r="C53" s="208" t="s">
        <v>232</v>
      </c>
      <c r="D53" s="209" t="s">
        <v>233</v>
      </c>
      <c r="E53" s="210" t="s">
        <v>65</v>
      </c>
      <c r="F53" s="208" t="s">
        <v>18</v>
      </c>
      <c r="G53" s="211">
        <f>O$58</f>
        <v>1207.6976799999998</v>
      </c>
      <c r="H53" s="212"/>
      <c r="I53" s="213"/>
      <c r="J53" s="212"/>
      <c r="K53" s="214"/>
      <c r="L53" s="213"/>
      <c r="M53" s="214"/>
      <c r="N53" s="214"/>
      <c r="O53" s="215"/>
      <c r="P53" s="214"/>
    </row>
    <row r="54" spans="2:16" ht="38.25">
      <c r="C54" s="208" t="s">
        <v>232</v>
      </c>
      <c r="D54" s="209" t="s">
        <v>233</v>
      </c>
      <c r="E54" s="210" t="s">
        <v>65</v>
      </c>
      <c r="F54" s="208" t="s">
        <v>18</v>
      </c>
      <c r="G54" s="211">
        <f>O$58</f>
        <v>1207.6976799999998</v>
      </c>
      <c r="H54" s="208" t="s">
        <v>306</v>
      </c>
      <c r="I54" s="210">
        <v>39756</v>
      </c>
      <c r="J54" s="209" t="s">
        <v>468</v>
      </c>
      <c r="K54" s="208" t="s">
        <v>65</v>
      </c>
      <c r="L54" s="208" t="s">
        <v>18</v>
      </c>
      <c r="M54" s="210">
        <v>1</v>
      </c>
      <c r="N54" s="211">
        <v>1123.8699999999999</v>
      </c>
      <c r="O54" s="211">
        <f>M54*N54</f>
        <v>1123.8699999999999</v>
      </c>
      <c r="P54" s="214"/>
    </row>
    <row r="55" spans="2:16" ht="63.75">
      <c r="C55" s="208" t="s">
        <v>232</v>
      </c>
      <c r="D55" s="209" t="s">
        <v>233</v>
      </c>
      <c r="E55" s="210" t="s">
        <v>65</v>
      </c>
      <c r="F55" s="208" t="s">
        <v>18</v>
      </c>
      <c r="G55" s="211">
        <f>O$58</f>
        <v>1207.6976799999998</v>
      </c>
      <c r="H55" s="208" t="s">
        <v>306</v>
      </c>
      <c r="I55" s="210">
        <v>1580</v>
      </c>
      <c r="J55" s="209" t="s">
        <v>469</v>
      </c>
      <c r="K55" s="208" t="s">
        <v>65</v>
      </c>
      <c r="L55" s="208" t="s">
        <v>445</v>
      </c>
      <c r="M55" s="210">
        <v>3</v>
      </c>
      <c r="N55" s="211">
        <v>8.69</v>
      </c>
      <c r="O55" s="211">
        <f>M55*N55</f>
        <v>26.07</v>
      </c>
      <c r="P55" s="214"/>
    </row>
    <row r="56" spans="2:16" ht="63.75">
      <c r="C56" s="208" t="s">
        <v>232</v>
      </c>
      <c r="D56" s="209" t="s">
        <v>233</v>
      </c>
      <c r="E56" s="210" t="s">
        <v>65</v>
      </c>
      <c r="F56" s="208" t="s">
        <v>18</v>
      </c>
      <c r="G56" s="211">
        <f>O$58</f>
        <v>1207.6976799999998</v>
      </c>
      <c r="H56" s="208" t="s">
        <v>192</v>
      </c>
      <c r="I56" s="210">
        <v>88247</v>
      </c>
      <c r="J56" s="208" t="s">
        <v>446</v>
      </c>
      <c r="K56" s="208" t="s">
        <v>298</v>
      </c>
      <c r="L56" s="208" t="s">
        <v>445</v>
      </c>
      <c r="M56" s="210">
        <v>1.3231999999999999</v>
      </c>
      <c r="N56" s="210">
        <v>20.420000000000002</v>
      </c>
      <c r="O56" s="211">
        <f>M56*N56</f>
        <v>27.019743999999999</v>
      </c>
      <c r="P56" s="214"/>
    </row>
    <row r="57" spans="2:16" ht="25.5">
      <c r="C57" s="208" t="s">
        <v>232</v>
      </c>
      <c r="D57" s="209" t="s">
        <v>233</v>
      </c>
      <c r="E57" s="210" t="s">
        <v>65</v>
      </c>
      <c r="F57" s="208" t="s">
        <v>18</v>
      </c>
      <c r="G57" s="211">
        <f>O$58</f>
        <v>1207.6976799999998</v>
      </c>
      <c r="H57" s="208" t="s">
        <v>192</v>
      </c>
      <c r="I57" s="210">
        <v>88264</v>
      </c>
      <c r="J57" s="208" t="s">
        <v>369</v>
      </c>
      <c r="K57" s="208" t="s">
        <v>298</v>
      </c>
      <c r="L57" s="208" t="s">
        <v>447</v>
      </c>
      <c r="M57" s="210">
        <v>1.3231999999999999</v>
      </c>
      <c r="N57" s="210">
        <v>23.23</v>
      </c>
      <c r="O57" s="211">
        <f>M57*N57</f>
        <v>30.737935999999998</v>
      </c>
      <c r="P57" s="214"/>
    </row>
    <row r="58" spans="2:16">
      <c r="C58" s="213"/>
      <c r="D58" s="216"/>
      <c r="E58" s="213"/>
      <c r="F58" s="213"/>
      <c r="G58" s="213"/>
      <c r="H58" s="212"/>
      <c r="I58" s="213"/>
      <c r="J58" s="212"/>
      <c r="K58" s="214"/>
      <c r="L58" s="213"/>
      <c r="M58" s="214"/>
      <c r="N58" s="214"/>
      <c r="O58" s="211">
        <f>SUM(O54:O57)</f>
        <v>1207.6976799999998</v>
      </c>
      <c r="P58" s="214"/>
    </row>
    <row r="60" spans="2:16" ht="25.5">
      <c r="C60" s="208" t="s">
        <v>234</v>
      </c>
      <c r="D60" s="209" t="s">
        <v>235</v>
      </c>
      <c r="E60" s="210" t="s">
        <v>65</v>
      </c>
      <c r="F60" s="208" t="s">
        <v>18</v>
      </c>
      <c r="G60" s="211">
        <f>O$65</f>
        <v>211.99794999999997</v>
      </c>
      <c r="H60" s="212"/>
      <c r="I60" s="213"/>
      <c r="J60" s="212"/>
      <c r="K60" s="214"/>
      <c r="L60" s="213"/>
      <c r="M60" s="214"/>
      <c r="N60" s="214"/>
      <c r="O60" s="215"/>
      <c r="P60" s="214"/>
    </row>
    <row r="61" spans="2:16" ht="38.25">
      <c r="C61" s="208" t="s">
        <v>234</v>
      </c>
      <c r="D61" s="209" t="s">
        <v>235</v>
      </c>
      <c r="E61" s="210" t="s">
        <v>65</v>
      </c>
      <c r="F61" s="208" t="s">
        <v>18</v>
      </c>
      <c r="G61" s="211">
        <f>O$65</f>
        <v>211.99794999999997</v>
      </c>
      <c r="H61" s="208" t="s">
        <v>306</v>
      </c>
      <c r="I61" s="210">
        <v>39756</v>
      </c>
      <c r="J61" s="209" t="s">
        <v>470</v>
      </c>
      <c r="K61" s="208" t="s">
        <v>65</v>
      </c>
      <c r="L61" s="208" t="s">
        <v>18</v>
      </c>
      <c r="M61" s="210">
        <v>1</v>
      </c>
      <c r="N61" s="211">
        <v>169.15</v>
      </c>
      <c r="O61" s="211">
        <f>M61*N61</f>
        <v>169.15</v>
      </c>
      <c r="P61" s="214"/>
    </row>
    <row r="62" spans="2:16" ht="63.75">
      <c r="C62" s="208" t="s">
        <v>234</v>
      </c>
      <c r="D62" s="209" t="s">
        <v>235</v>
      </c>
      <c r="E62" s="210" t="s">
        <v>65</v>
      </c>
      <c r="F62" s="208" t="s">
        <v>18</v>
      </c>
      <c r="G62" s="211">
        <f>O$65</f>
        <v>211.99794999999997</v>
      </c>
      <c r="H62" s="208" t="s">
        <v>306</v>
      </c>
      <c r="I62" s="210">
        <v>1580</v>
      </c>
      <c r="J62" s="209" t="s">
        <v>471</v>
      </c>
      <c r="K62" s="208" t="s">
        <v>65</v>
      </c>
      <c r="L62" s="208" t="s">
        <v>445</v>
      </c>
      <c r="M62" s="210">
        <v>3</v>
      </c>
      <c r="N62" s="211">
        <v>2.89</v>
      </c>
      <c r="O62" s="211">
        <f>M62*N62</f>
        <v>8.67</v>
      </c>
      <c r="P62" s="214"/>
    </row>
    <row r="63" spans="2:16" ht="63.75">
      <c r="C63" s="208" t="s">
        <v>234</v>
      </c>
      <c r="D63" s="209" t="s">
        <v>235</v>
      </c>
      <c r="E63" s="210" t="s">
        <v>65</v>
      </c>
      <c r="F63" s="208" t="s">
        <v>18</v>
      </c>
      <c r="G63" s="211">
        <f>O$65</f>
        <v>211.99794999999997</v>
      </c>
      <c r="H63" s="208" t="s">
        <v>192</v>
      </c>
      <c r="I63" s="210">
        <v>88247</v>
      </c>
      <c r="J63" s="208" t="s">
        <v>446</v>
      </c>
      <c r="K63" s="208" t="s">
        <v>298</v>
      </c>
      <c r="L63" s="208" t="s">
        <v>445</v>
      </c>
      <c r="M63" s="210">
        <v>0.78300000000000003</v>
      </c>
      <c r="N63" s="210">
        <v>20.420000000000002</v>
      </c>
      <c r="O63" s="211">
        <f>M63*N63</f>
        <v>15.988860000000003</v>
      </c>
      <c r="P63" s="214"/>
    </row>
    <row r="64" spans="2:16" ht="25.5">
      <c r="C64" s="208" t="s">
        <v>234</v>
      </c>
      <c r="D64" s="209" t="s">
        <v>235</v>
      </c>
      <c r="E64" s="210" t="s">
        <v>65</v>
      </c>
      <c r="F64" s="208" t="s">
        <v>18</v>
      </c>
      <c r="G64" s="211">
        <f>O$65</f>
        <v>211.99794999999997</v>
      </c>
      <c r="H64" s="208" t="s">
        <v>192</v>
      </c>
      <c r="I64" s="210">
        <v>88264</v>
      </c>
      <c r="J64" s="208" t="s">
        <v>369</v>
      </c>
      <c r="K64" s="208" t="s">
        <v>298</v>
      </c>
      <c r="L64" s="208" t="s">
        <v>447</v>
      </c>
      <c r="M64" s="210">
        <v>0.78300000000000003</v>
      </c>
      <c r="N64" s="210">
        <v>23.23</v>
      </c>
      <c r="O64" s="211">
        <f>M64*N64</f>
        <v>18.18909</v>
      </c>
      <c r="P64" s="214"/>
    </row>
    <row r="65" spans="3:16">
      <c r="C65" s="213"/>
      <c r="D65" s="216"/>
      <c r="E65" s="213"/>
      <c r="F65" s="213"/>
      <c r="G65" s="213"/>
      <c r="H65" s="212"/>
      <c r="I65" s="213"/>
      <c r="J65" s="212"/>
      <c r="K65" s="214"/>
      <c r="L65" s="213"/>
      <c r="M65" s="214"/>
      <c r="N65" s="214"/>
      <c r="O65" s="211">
        <f>SUM(O61:O64)</f>
        <v>211.99794999999997</v>
      </c>
      <c r="P65" s="214"/>
    </row>
    <row r="67" spans="3:16" ht="25.5">
      <c r="C67" s="208" t="s">
        <v>240</v>
      </c>
      <c r="D67" s="209" t="s">
        <v>241</v>
      </c>
      <c r="E67" s="210" t="s">
        <v>65</v>
      </c>
      <c r="F67" s="208" t="s">
        <v>18</v>
      </c>
      <c r="G67" s="211">
        <f>O$72</f>
        <v>129.96858</v>
      </c>
      <c r="H67" s="212"/>
      <c r="I67" s="213"/>
      <c r="J67" s="212"/>
      <c r="K67" s="214"/>
      <c r="L67" s="213"/>
      <c r="M67" s="214"/>
      <c r="N67" s="214"/>
      <c r="O67" s="215"/>
      <c r="P67" s="214"/>
    </row>
    <row r="68" spans="3:16" ht="63.75">
      <c r="C68" s="208" t="s">
        <v>240</v>
      </c>
      <c r="D68" s="209" t="s">
        <v>241</v>
      </c>
      <c r="E68" s="210" t="s">
        <v>65</v>
      </c>
      <c r="F68" s="208" t="s">
        <v>18</v>
      </c>
      <c r="G68" s="211">
        <f>O$72</f>
        <v>129.96858</v>
      </c>
      <c r="H68" s="208" t="s">
        <v>306</v>
      </c>
      <c r="I68" s="210">
        <v>39473</v>
      </c>
      <c r="J68" s="209" t="s">
        <v>472</v>
      </c>
      <c r="K68" s="208" t="s">
        <v>65</v>
      </c>
      <c r="L68" s="208" t="s">
        <v>445</v>
      </c>
      <c r="M68" s="210">
        <v>1</v>
      </c>
      <c r="N68" s="211">
        <v>113.04</v>
      </c>
      <c r="O68" s="211">
        <f>M68*N68</f>
        <v>113.04</v>
      </c>
      <c r="P68" s="214"/>
    </row>
    <row r="69" spans="3:16" ht="63.75">
      <c r="C69" s="208" t="s">
        <v>240</v>
      </c>
      <c r="D69" s="209" t="s">
        <v>241</v>
      </c>
      <c r="E69" s="210" t="s">
        <v>65</v>
      </c>
      <c r="F69" s="208" t="s">
        <v>18</v>
      </c>
      <c r="G69" s="211">
        <f>O$72</f>
        <v>129.96858</v>
      </c>
      <c r="H69" s="208" t="s">
        <v>306</v>
      </c>
      <c r="I69" s="210">
        <v>1580</v>
      </c>
      <c r="J69" s="209" t="s">
        <v>471</v>
      </c>
      <c r="K69" s="208" t="s">
        <v>65</v>
      </c>
      <c r="L69" s="208" t="s">
        <v>445</v>
      </c>
      <c r="M69" s="210">
        <v>3</v>
      </c>
      <c r="N69" s="211">
        <v>2.89</v>
      </c>
      <c r="O69" s="211">
        <f>M69*N69</f>
        <v>8.67</v>
      </c>
      <c r="P69" s="214"/>
    </row>
    <row r="70" spans="3:16" ht="63.75">
      <c r="C70" s="208" t="s">
        <v>240</v>
      </c>
      <c r="D70" s="209" t="s">
        <v>241</v>
      </c>
      <c r="E70" s="210" t="s">
        <v>65</v>
      </c>
      <c r="F70" s="208" t="s">
        <v>18</v>
      </c>
      <c r="G70" s="211">
        <f>O$72</f>
        <v>129.96858</v>
      </c>
      <c r="H70" s="208" t="s">
        <v>192</v>
      </c>
      <c r="I70" s="210">
        <v>88247</v>
      </c>
      <c r="J70" s="208" t="s">
        <v>446</v>
      </c>
      <c r="K70" s="208" t="s">
        <v>298</v>
      </c>
      <c r="L70" s="208" t="s">
        <v>445</v>
      </c>
      <c r="M70" s="210">
        <v>0.18920000000000001</v>
      </c>
      <c r="N70" s="210">
        <v>20.420000000000002</v>
      </c>
      <c r="O70" s="211">
        <f>M70*N70</f>
        <v>3.8634640000000005</v>
      </c>
      <c r="P70" s="214"/>
    </row>
    <row r="71" spans="3:16" ht="25.5">
      <c r="C71" s="208" t="s">
        <v>240</v>
      </c>
      <c r="D71" s="209" t="s">
        <v>241</v>
      </c>
      <c r="E71" s="210" t="s">
        <v>65</v>
      </c>
      <c r="F71" s="208" t="s">
        <v>18</v>
      </c>
      <c r="G71" s="211">
        <f>O$72</f>
        <v>129.96858</v>
      </c>
      <c r="H71" s="208" t="s">
        <v>192</v>
      </c>
      <c r="I71" s="210">
        <v>88264</v>
      </c>
      <c r="J71" s="208" t="s">
        <v>369</v>
      </c>
      <c r="K71" s="208" t="s">
        <v>298</v>
      </c>
      <c r="L71" s="208" t="s">
        <v>447</v>
      </c>
      <c r="M71" s="210">
        <v>0.18920000000000001</v>
      </c>
      <c r="N71" s="210">
        <v>23.23</v>
      </c>
      <c r="O71" s="211">
        <f>M71*N71</f>
        <v>4.3951159999999998</v>
      </c>
      <c r="P71" s="214"/>
    </row>
    <row r="72" spans="3:16">
      <c r="C72" s="213"/>
      <c r="D72" s="216"/>
      <c r="E72" s="213"/>
      <c r="F72" s="213"/>
      <c r="G72" s="213"/>
      <c r="H72" s="212"/>
      <c r="I72" s="213"/>
      <c r="J72" s="212"/>
      <c r="K72" s="214"/>
      <c r="L72" s="213"/>
      <c r="M72" s="214"/>
      <c r="N72" s="214"/>
      <c r="O72" s="211">
        <f>SUM(O68:O71)</f>
        <v>129.96858</v>
      </c>
      <c r="P72" s="214"/>
    </row>
    <row r="74" spans="3:16" ht="63.75">
      <c r="C74" s="208" t="s">
        <v>245</v>
      </c>
      <c r="D74" s="209" t="s">
        <v>246</v>
      </c>
      <c r="E74" s="210" t="s">
        <v>65</v>
      </c>
      <c r="F74" s="208" t="s">
        <v>445</v>
      </c>
      <c r="G74" s="211">
        <f>O$79</f>
        <v>259.102915</v>
      </c>
      <c r="H74" s="212"/>
      <c r="I74" s="213"/>
      <c r="J74" s="212"/>
      <c r="K74" s="214"/>
      <c r="L74" s="213"/>
      <c r="M74" s="214"/>
      <c r="N74" s="214"/>
      <c r="O74" s="215"/>
    </row>
    <row r="75" spans="3:16" ht="63.75">
      <c r="C75" s="208" t="s">
        <v>245</v>
      </c>
      <c r="D75" s="209" t="s">
        <v>246</v>
      </c>
      <c r="E75" s="210" t="s">
        <v>65</v>
      </c>
      <c r="F75" s="208" t="s">
        <v>445</v>
      </c>
      <c r="G75" s="211">
        <f>O$79</f>
        <v>259.102915</v>
      </c>
      <c r="H75" s="208" t="s">
        <v>306</v>
      </c>
      <c r="I75" s="210">
        <v>2595</v>
      </c>
      <c r="J75" s="209" t="s">
        <v>473</v>
      </c>
      <c r="K75" s="208" t="s">
        <v>65</v>
      </c>
      <c r="L75" s="208" t="s">
        <v>445</v>
      </c>
      <c r="M75" s="210">
        <v>1</v>
      </c>
      <c r="N75" s="211">
        <v>239.68</v>
      </c>
      <c r="O75" s="211">
        <f>M75*N75</f>
        <v>239.68</v>
      </c>
    </row>
    <row r="76" spans="3:16" ht="63.75">
      <c r="C76" s="208" t="s">
        <v>245</v>
      </c>
      <c r="D76" s="209" t="s">
        <v>246</v>
      </c>
      <c r="E76" s="210" t="s">
        <v>65</v>
      </c>
      <c r="F76" s="208" t="s">
        <v>445</v>
      </c>
      <c r="G76" s="211">
        <f>O$79</f>
        <v>259.102915</v>
      </c>
      <c r="H76" s="208" t="s">
        <v>306</v>
      </c>
      <c r="I76" s="210">
        <v>11950</v>
      </c>
      <c r="J76" s="209" t="s">
        <v>474</v>
      </c>
      <c r="K76" s="208" t="s">
        <v>65</v>
      </c>
      <c r="L76" s="208" t="s">
        <v>445</v>
      </c>
      <c r="M76" s="210">
        <v>2</v>
      </c>
      <c r="N76" s="211">
        <v>0.39</v>
      </c>
      <c r="O76" s="211">
        <f>M76*N76</f>
        <v>0.78</v>
      </c>
    </row>
    <row r="77" spans="3:16" ht="63.75">
      <c r="C77" s="208" t="s">
        <v>245</v>
      </c>
      <c r="D77" s="209" t="s">
        <v>246</v>
      </c>
      <c r="E77" s="210" t="s">
        <v>65</v>
      </c>
      <c r="F77" s="208" t="s">
        <v>445</v>
      </c>
      <c r="G77" s="211">
        <f>O$79</f>
        <v>259.102915</v>
      </c>
      <c r="H77" s="208" t="s">
        <v>192</v>
      </c>
      <c r="I77" s="210">
        <v>88247</v>
      </c>
      <c r="J77" s="208" t="s">
        <v>446</v>
      </c>
      <c r="K77" s="208" t="s">
        <v>298</v>
      </c>
      <c r="L77" s="208" t="s">
        <v>447</v>
      </c>
      <c r="M77" s="210">
        <v>0.42709999999999998</v>
      </c>
      <c r="N77" s="210">
        <v>20.420000000000002</v>
      </c>
      <c r="O77" s="211">
        <f>M77*N77</f>
        <v>8.7213820000000002</v>
      </c>
    </row>
    <row r="78" spans="3:16" ht="63.75">
      <c r="C78" s="208" t="s">
        <v>245</v>
      </c>
      <c r="D78" s="209" t="s">
        <v>246</v>
      </c>
      <c r="E78" s="210" t="s">
        <v>65</v>
      </c>
      <c r="F78" s="208" t="s">
        <v>445</v>
      </c>
      <c r="G78" s="211">
        <f>O$79</f>
        <v>259.102915</v>
      </c>
      <c r="H78" s="208" t="s">
        <v>192</v>
      </c>
      <c r="I78" s="210">
        <v>88264</v>
      </c>
      <c r="J78" s="208" t="s">
        <v>369</v>
      </c>
      <c r="K78" s="208" t="s">
        <v>298</v>
      </c>
      <c r="L78" s="208" t="s">
        <v>447</v>
      </c>
      <c r="M78" s="210">
        <v>0.42709999999999998</v>
      </c>
      <c r="N78" s="210">
        <v>23.23</v>
      </c>
      <c r="O78" s="211">
        <f>M78*N78</f>
        <v>9.9215330000000002</v>
      </c>
    </row>
    <row r="79" spans="3:16">
      <c r="C79" s="213"/>
      <c r="D79" s="216"/>
      <c r="E79" s="213"/>
      <c r="F79" s="213"/>
      <c r="G79" s="213"/>
      <c r="H79" s="212"/>
      <c r="I79" s="213"/>
      <c r="J79" s="212"/>
      <c r="K79" s="214"/>
      <c r="L79" s="213"/>
      <c r="M79" s="214"/>
      <c r="N79" s="214"/>
      <c r="O79" s="211">
        <f>SUM(O75:O78)</f>
        <v>259.102915</v>
      </c>
    </row>
    <row r="81" spans="2:16" ht="63.75">
      <c r="B81" s="208"/>
      <c r="C81" s="208" t="s">
        <v>247</v>
      </c>
      <c r="D81" s="209" t="s">
        <v>248</v>
      </c>
      <c r="E81" s="210" t="s">
        <v>65</v>
      </c>
      <c r="F81" s="208" t="s">
        <v>445</v>
      </c>
      <c r="G81" s="211">
        <f t="shared" ref="G81:G88" si="6">O$89</f>
        <v>8.1526800000000001</v>
      </c>
      <c r="H81" s="212"/>
      <c r="I81" s="213"/>
      <c r="J81" s="212"/>
      <c r="K81" s="214"/>
      <c r="L81" s="213"/>
      <c r="M81" s="214"/>
      <c r="N81" s="214"/>
      <c r="O81" s="215"/>
      <c r="P81" s="214"/>
    </row>
    <row r="82" spans="2:16" ht="63.75">
      <c r="B82" s="208"/>
      <c r="C82" s="208" t="s">
        <v>247</v>
      </c>
      <c r="D82" s="209" t="s">
        <v>248</v>
      </c>
      <c r="E82" s="210" t="s">
        <v>65</v>
      </c>
      <c r="F82" s="208" t="s">
        <v>445</v>
      </c>
      <c r="G82" s="211">
        <f t="shared" si="6"/>
        <v>8.1526800000000001</v>
      </c>
      <c r="H82" s="208" t="s">
        <v>306</v>
      </c>
      <c r="I82" s="208">
        <v>399</v>
      </c>
      <c r="J82" s="218" t="s">
        <v>475</v>
      </c>
      <c r="K82" s="208" t="s">
        <v>65</v>
      </c>
      <c r="L82" s="208" t="s">
        <v>445</v>
      </c>
      <c r="M82" s="208" t="s">
        <v>476</v>
      </c>
      <c r="N82" s="208">
        <v>7.58</v>
      </c>
      <c r="O82" s="211">
        <f t="shared" ref="O82:O88" si="7">M82*N82</f>
        <v>2.8728199999999999</v>
      </c>
      <c r="P82" s="214"/>
    </row>
    <row r="83" spans="2:16" ht="63.75">
      <c r="B83" s="208"/>
      <c r="C83" s="208" t="s">
        <v>247</v>
      </c>
      <c r="D83" s="209" t="s">
        <v>248</v>
      </c>
      <c r="E83" s="210" t="s">
        <v>65</v>
      </c>
      <c r="F83" s="208" t="s">
        <v>445</v>
      </c>
      <c r="G83" s="211">
        <f t="shared" si="6"/>
        <v>8.1526800000000001</v>
      </c>
      <c r="H83" s="208" t="s">
        <v>306</v>
      </c>
      <c r="I83" s="208" t="s">
        <v>477</v>
      </c>
      <c r="J83" s="208" t="s">
        <v>478</v>
      </c>
      <c r="K83" s="208" t="s">
        <v>65</v>
      </c>
      <c r="L83" s="208" t="s">
        <v>445</v>
      </c>
      <c r="M83" s="208" t="s">
        <v>476</v>
      </c>
      <c r="N83" s="208">
        <v>0.8</v>
      </c>
      <c r="O83" s="211">
        <f t="shared" si="7"/>
        <v>0.30320000000000003</v>
      </c>
      <c r="P83" s="214"/>
    </row>
    <row r="84" spans="2:16" ht="63.75">
      <c r="B84" s="208"/>
      <c r="C84" s="208" t="s">
        <v>247</v>
      </c>
      <c r="D84" s="209" t="s">
        <v>248</v>
      </c>
      <c r="E84" s="210" t="s">
        <v>65</v>
      </c>
      <c r="F84" s="208" t="s">
        <v>445</v>
      </c>
      <c r="G84" s="211">
        <f t="shared" si="6"/>
        <v>8.1526800000000001</v>
      </c>
      <c r="H84" s="208" t="s">
        <v>306</v>
      </c>
      <c r="I84" s="208" t="s">
        <v>479</v>
      </c>
      <c r="J84" s="208" t="s">
        <v>480</v>
      </c>
      <c r="K84" s="208" t="s">
        <v>65</v>
      </c>
      <c r="L84" s="208" t="s">
        <v>466</v>
      </c>
      <c r="M84" s="208" t="s">
        <v>476</v>
      </c>
      <c r="N84" s="208">
        <v>1.24</v>
      </c>
      <c r="O84" s="211">
        <f t="shared" si="7"/>
        <v>0.46995999999999999</v>
      </c>
      <c r="P84" s="214"/>
    </row>
    <row r="85" spans="2:16" ht="63.75">
      <c r="B85" s="213"/>
      <c r="C85" s="208" t="s">
        <v>247</v>
      </c>
      <c r="D85" s="209" t="s">
        <v>248</v>
      </c>
      <c r="E85" s="210" t="s">
        <v>65</v>
      </c>
      <c r="F85" s="208" t="s">
        <v>445</v>
      </c>
      <c r="G85" s="211">
        <f t="shared" si="6"/>
        <v>8.1526800000000001</v>
      </c>
      <c r="H85" s="208" t="s">
        <v>306</v>
      </c>
      <c r="I85" s="208" t="s">
        <v>481</v>
      </c>
      <c r="J85" s="208" t="s">
        <v>482</v>
      </c>
      <c r="K85" s="208" t="s">
        <v>47</v>
      </c>
      <c r="L85" s="208" t="s">
        <v>445</v>
      </c>
      <c r="M85" s="208" t="s">
        <v>483</v>
      </c>
      <c r="N85" s="208">
        <v>5.77</v>
      </c>
      <c r="O85" s="211">
        <f t="shared" si="7"/>
        <v>0.21925999999999998</v>
      </c>
      <c r="P85" s="214"/>
    </row>
    <row r="86" spans="2:16" ht="63.75">
      <c r="B86" s="219"/>
      <c r="C86" s="208" t="s">
        <v>247</v>
      </c>
      <c r="D86" s="209" t="s">
        <v>248</v>
      </c>
      <c r="E86" s="210" t="s">
        <v>65</v>
      </c>
      <c r="F86" s="208" t="s">
        <v>445</v>
      </c>
      <c r="G86" s="211">
        <f t="shared" si="6"/>
        <v>8.1526800000000001</v>
      </c>
      <c r="H86" s="208" t="s">
        <v>306</v>
      </c>
      <c r="I86" s="208" t="s">
        <v>484</v>
      </c>
      <c r="J86" s="208" t="s">
        <v>485</v>
      </c>
      <c r="K86" s="208" t="s">
        <v>65</v>
      </c>
      <c r="L86" s="208" t="s">
        <v>466</v>
      </c>
      <c r="M86" s="208" t="s">
        <v>476</v>
      </c>
      <c r="N86" s="208">
        <v>0.31</v>
      </c>
      <c r="O86" s="211">
        <f t="shared" si="7"/>
        <v>0.11749</v>
      </c>
      <c r="P86" s="214"/>
    </row>
    <row r="87" spans="2:16" ht="63.75">
      <c r="B87" s="208"/>
      <c r="C87" s="208" t="s">
        <v>247</v>
      </c>
      <c r="D87" s="209" t="s">
        <v>248</v>
      </c>
      <c r="E87" s="210" t="s">
        <v>65</v>
      </c>
      <c r="F87" s="208" t="s">
        <v>445</v>
      </c>
      <c r="G87" s="211">
        <f t="shared" si="6"/>
        <v>8.1526800000000001</v>
      </c>
      <c r="H87" s="208" t="s">
        <v>334</v>
      </c>
      <c r="I87" s="208" t="s">
        <v>418</v>
      </c>
      <c r="J87" s="208" t="s">
        <v>419</v>
      </c>
      <c r="K87" s="208" t="s">
        <v>298</v>
      </c>
      <c r="L87" s="208" t="s">
        <v>445</v>
      </c>
      <c r="M87" s="208" t="s">
        <v>486</v>
      </c>
      <c r="N87" s="208">
        <v>19.53</v>
      </c>
      <c r="O87" s="211">
        <f t="shared" si="7"/>
        <v>0.44919000000000003</v>
      </c>
      <c r="P87" s="214"/>
    </row>
    <row r="88" spans="2:16" ht="63.75">
      <c r="B88" s="208"/>
      <c r="C88" s="208" t="s">
        <v>247</v>
      </c>
      <c r="D88" s="209" t="s">
        <v>248</v>
      </c>
      <c r="E88" s="210" t="s">
        <v>65</v>
      </c>
      <c r="F88" s="208" t="s">
        <v>445</v>
      </c>
      <c r="G88" s="211">
        <f t="shared" si="6"/>
        <v>8.1526800000000001</v>
      </c>
      <c r="H88" s="208" t="s">
        <v>334</v>
      </c>
      <c r="I88" s="208" t="s">
        <v>420</v>
      </c>
      <c r="J88" s="208" t="s">
        <v>401</v>
      </c>
      <c r="K88" s="208" t="s">
        <v>298</v>
      </c>
      <c r="L88" s="208" t="s">
        <v>447</v>
      </c>
      <c r="M88" s="208" t="s">
        <v>487</v>
      </c>
      <c r="N88" s="208">
        <v>22.28</v>
      </c>
      <c r="O88" s="211">
        <f t="shared" si="7"/>
        <v>3.7207600000000003</v>
      </c>
      <c r="P88" s="214"/>
    </row>
    <row r="89" spans="2:16">
      <c r="B89" s="208"/>
      <c r="C89" s="213"/>
      <c r="D89" s="216"/>
      <c r="E89" s="213"/>
      <c r="F89" s="213"/>
      <c r="G89" s="213"/>
      <c r="H89" s="212"/>
      <c r="I89" s="213"/>
      <c r="J89" s="212"/>
      <c r="K89" s="214"/>
      <c r="L89" s="213"/>
      <c r="M89" s="214"/>
      <c r="N89" s="214"/>
      <c r="O89" s="211">
        <f>SUM(O82:O88)</f>
        <v>8.1526800000000001</v>
      </c>
      <c r="P89" s="214"/>
    </row>
    <row r="91" spans="2:16" ht="63.75">
      <c r="C91" s="208" t="s">
        <v>264</v>
      </c>
      <c r="D91" s="217" t="s">
        <v>265</v>
      </c>
      <c r="E91" s="210" t="s">
        <v>65</v>
      </c>
      <c r="F91" s="208" t="s">
        <v>445</v>
      </c>
      <c r="G91" s="211">
        <f t="shared" ref="G91:G98" si="8">O$99</f>
        <v>108.64755</v>
      </c>
      <c r="H91" s="212"/>
      <c r="I91" s="213"/>
      <c r="J91" s="212"/>
      <c r="K91" s="214"/>
      <c r="L91" s="213"/>
      <c r="M91" s="214"/>
      <c r="N91" s="214"/>
      <c r="O91" s="215"/>
      <c r="P91" s="214"/>
    </row>
    <row r="92" spans="2:16" ht="63.75">
      <c r="C92" s="208" t="s">
        <v>264</v>
      </c>
      <c r="D92" s="217" t="s">
        <v>265</v>
      </c>
      <c r="E92" s="210" t="s">
        <v>65</v>
      </c>
      <c r="F92" s="208" t="s">
        <v>445</v>
      </c>
      <c r="G92" s="211">
        <f t="shared" si="8"/>
        <v>108.64755</v>
      </c>
      <c r="H92" s="208" t="s">
        <v>306</v>
      </c>
      <c r="I92" s="210" t="s">
        <v>449</v>
      </c>
      <c r="J92" s="217" t="s">
        <v>488</v>
      </c>
      <c r="K92" s="208" t="s">
        <v>65</v>
      </c>
      <c r="L92" s="208" t="s">
        <v>449</v>
      </c>
      <c r="M92" s="210">
        <v>1</v>
      </c>
      <c r="N92" s="211">
        <v>52.9</v>
      </c>
      <c r="O92" s="211">
        <f t="shared" ref="O92:O98" si="9">M92*N92</f>
        <v>52.9</v>
      </c>
      <c r="P92" s="214"/>
    </row>
    <row r="93" spans="2:16" ht="63.75">
      <c r="C93" s="208" t="s">
        <v>264</v>
      </c>
      <c r="D93" s="217" t="s">
        <v>265</v>
      </c>
      <c r="E93" s="210" t="s">
        <v>65</v>
      </c>
      <c r="F93" s="208" t="s">
        <v>445</v>
      </c>
      <c r="G93" s="211">
        <f t="shared" si="8"/>
        <v>108.64755</v>
      </c>
      <c r="H93" s="208" t="s">
        <v>306</v>
      </c>
      <c r="I93" s="210" t="s">
        <v>449</v>
      </c>
      <c r="J93" s="208" t="s">
        <v>458</v>
      </c>
      <c r="K93" s="208" t="s">
        <v>65</v>
      </c>
      <c r="L93" s="208" t="s">
        <v>449</v>
      </c>
      <c r="M93" s="210">
        <v>4</v>
      </c>
      <c r="N93" s="211">
        <v>1.76</v>
      </c>
      <c r="O93" s="211">
        <f t="shared" si="9"/>
        <v>7.04</v>
      </c>
      <c r="P93" s="214"/>
    </row>
    <row r="94" spans="2:16" ht="63.75">
      <c r="C94" s="208" t="s">
        <v>264</v>
      </c>
      <c r="D94" s="217" t="s">
        <v>265</v>
      </c>
      <c r="E94" s="210" t="s">
        <v>65</v>
      </c>
      <c r="F94" s="208" t="s">
        <v>445</v>
      </c>
      <c r="G94" s="211">
        <f t="shared" si="8"/>
        <v>108.64755</v>
      </c>
      <c r="H94" s="208" t="s">
        <v>306</v>
      </c>
      <c r="I94" s="210"/>
      <c r="J94" s="208" t="s">
        <v>459</v>
      </c>
      <c r="K94" s="208" t="s">
        <v>65</v>
      </c>
      <c r="L94" s="208" t="s">
        <v>449</v>
      </c>
      <c r="M94" s="210">
        <v>16.8</v>
      </c>
      <c r="N94" s="211">
        <v>0.53</v>
      </c>
      <c r="O94" s="211">
        <f t="shared" si="9"/>
        <v>8.9040000000000017</v>
      </c>
      <c r="P94" s="214"/>
    </row>
    <row r="95" spans="2:16" ht="63.75">
      <c r="C95" s="208" t="s">
        <v>264</v>
      </c>
      <c r="D95" s="217" t="s">
        <v>265</v>
      </c>
      <c r="E95" s="210" t="s">
        <v>65</v>
      </c>
      <c r="F95" s="208" t="s">
        <v>445</v>
      </c>
      <c r="G95" s="211">
        <f t="shared" si="8"/>
        <v>108.64755</v>
      </c>
      <c r="H95" s="208" t="s">
        <v>306</v>
      </c>
      <c r="I95" s="210"/>
      <c r="J95" s="208" t="s">
        <v>460</v>
      </c>
      <c r="K95" s="208" t="s">
        <v>65</v>
      </c>
      <c r="L95" s="208" t="s">
        <v>449</v>
      </c>
      <c r="M95" s="210">
        <v>16.8</v>
      </c>
      <c r="N95" s="211">
        <v>0.8</v>
      </c>
      <c r="O95" s="211">
        <f t="shared" si="9"/>
        <v>13.440000000000001</v>
      </c>
      <c r="P95" s="214"/>
    </row>
    <row r="96" spans="2:16" ht="63.75">
      <c r="C96" s="208" t="s">
        <v>264</v>
      </c>
      <c r="D96" s="217" t="s">
        <v>265</v>
      </c>
      <c r="E96" s="210" t="s">
        <v>65</v>
      </c>
      <c r="F96" s="208" t="s">
        <v>445</v>
      </c>
      <c r="G96" s="211">
        <f t="shared" si="8"/>
        <v>108.64755</v>
      </c>
      <c r="H96" s="208" t="s">
        <v>306</v>
      </c>
      <c r="I96" s="210"/>
      <c r="J96" s="208" t="s">
        <v>461</v>
      </c>
      <c r="K96" s="208" t="s">
        <v>65</v>
      </c>
      <c r="L96" s="208" t="s">
        <v>449</v>
      </c>
      <c r="M96" s="210">
        <v>16.8</v>
      </c>
      <c r="N96" s="211">
        <v>0.2</v>
      </c>
      <c r="O96" s="211">
        <f t="shared" si="9"/>
        <v>3.3600000000000003</v>
      </c>
      <c r="P96" s="214"/>
    </row>
    <row r="97" spans="3:16" ht="63.75">
      <c r="C97" s="208" t="s">
        <v>264</v>
      </c>
      <c r="D97" s="217" t="s">
        <v>265</v>
      </c>
      <c r="E97" s="210" t="s">
        <v>65</v>
      </c>
      <c r="F97" s="208" t="s">
        <v>445</v>
      </c>
      <c r="G97" s="211">
        <f t="shared" si="8"/>
        <v>108.64755</v>
      </c>
      <c r="H97" s="208" t="s">
        <v>192</v>
      </c>
      <c r="I97" s="210">
        <v>88247</v>
      </c>
      <c r="J97" s="208" t="s">
        <v>455</v>
      </c>
      <c r="K97" s="208" t="s">
        <v>298</v>
      </c>
      <c r="L97" s="208" t="s">
        <v>447</v>
      </c>
      <c r="M97" s="210">
        <v>0.52700000000000002</v>
      </c>
      <c r="N97" s="210">
        <v>20.420000000000002</v>
      </c>
      <c r="O97" s="211">
        <f t="shared" si="9"/>
        <v>10.761340000000001</v>
      </c>
      <c r="P97" s="214"/>
    </row>
    <row r="98" spans="3:16" ht="63.75">
      <c r="C98" s="208" t="s">
        <v>264</v>
      </c>
      <c r="D98" s="217" t="s">
        <v>265</v>
      </c>
      <c r="E98" s="210" t="s">
        <v>65</v>
      </c>
      <c r="F98" s="208" t="s">
        <v>445</v>
      </c>
      <c r="G98" s="211">
        <f t="shared" si="8"/>
        <v>108.64755</v>
      </c>
      <c r="H98" s="208" t="s">
        <v>192</v>
      </c>
      <c r="I98" s="210">
        <v>88264</v>
      </c>
      <c r="J98" s="208" t="s">
        <v>369</v>
      </c>
      <c r="K98" s="208" t="s">
        <v>298</v>
      </c>
      <c r="L98" s="208" t="s">
        <v>447</v>
      </c>
      <c r="M98" s="210">
        <v>0.52700000000000002</v>
      </c>
      <c r="N98" s="210">
        <v>23.23</v>
      </c>
      <c r="O98" s="211">
        <f t="shared" si="9"/>
        <v>12.24221</v>
      </c>
      <c r="P98" s="214"/>
    </row>
    <row r="99" spans="3:16">
      <c r="C99" s="213"/>
      <c r="D99" s="216"/>
      <c r="E99" s="213"/>
      <c r="F99" s="213"/>
      <c r="G99" s="213"/>
      <c r="H99" s="212"/>
      <c r="I99" s="213"/>
      <c r="J99" s="212"/>
      <c r="K99" s="214"/>
      <c r="L99" s="213"/>
      <c r="M99" s="214"/>
      <c r="N99" s="214"/>
      <c r="O99" s="211">
        <f>SUM(O92:O98)</f>
        <v>108.64755</v>
      </c>
      <c r="P99" s="214"/>
    </row>
    <row r="101" spans="3:16" ht="63.75">
      <c r="C101" s="208" t="s">
        <v>266</v>
      </c>
      <c r="D101" s="209" t="s">
        <v>489</v>
      </c>
      <c r="E101" s="210" t="s">
        <v>65</v>
      </c>
      <c r="F101" s="208" t="s">
        <v>445</v>
      </c>
      <c r="G101" s="211">
        <f t="shared" ref="G101:G108" si="10">O$109</f>
        <v>88.64755000000001</v>
      </c>
      <c r="H101" s="212"/>
      <c r="I101" s="213"/>
      <c r="J101" s="212"/>
      <c r="K101" s="214"/>
      <c r="L101" s="213"/>
      <c r="M101" s="214"/>
      <c r="N101" s="214"/>
      <c r="O101" s="215"/>
      <c r="P101" s="214"/>
    </row>
    <row r="102" spans="3:16" ht="63.75">
      <c r="C102" s="208" t="s">
        <v>266</v>
      </c>
      <c r="D102" s="209" t="s">
        <v>489</v>
      </c>
      <c r="E102" s="210" t="s">
        <v>65</v>
      </c>
      <c r="F102" s="208" t="s">
        <v>445</v>
      </c>
      <c r="G102" s="211">
        <f t="shared" si="10"/>
        <v>88.64755000000001</v>
      </c>
      <c r="H102" s="208" t="s">
        <v>306</v>
      </c>
      <c r="I102" s="210" t="s">
        <v>449</v>
      </c>
      <c r="J102" s="208" t="s">
        <v>490</v>
      </c>
      <c r="K102" s="208" t="s">
        <v>65</v>
      </c>
      <c r="L102" s="208" t="s">
        <v>449</v>
      </c>
      <c r="M102" s="210">
        <v>1</v>
      </c>
      <c r="N102" s="211">
        <v>32.9</v>
      </c>
      <c r="O102" s="211">
        <f t="shared" ref="O102:O108" si="11">M102*N102</f>
        <v>32.9</v>
      </c>
      <c r="P102" s="214"/>
    </row>
    <row r="103" spans="3:16" ht="63.75">
      <c r="C103" s="208" t="s">
        <v>266</v>
      </c>
      <c r="D103" s="209" t="s">
        <v>489</v>
      </c>
      <c r="E103" s="210" t="s">
        <v>65</v>
      </c>
      <c r="F103" s="208" t="s">
        <v>445</v>
      </c>
      <c r="G103" s="211">
        <f t="shared" si="10"/>
        <v>88.64755000000001</v>
      </c>
      <c r="H103" s="208" t="s">
        <v>306</v>
      </c>
      <c r="I103" s="210" t="s">
        <v>449</v>
      </c>
      <c r="J103" s="208" t="s">
        <v>458</v>
      </c>
      <c r="K103" s="208" t="s">
        <v>65</v>
      </c>
      <c r="L103" s="208" t="s">
        <v>449</v>
      </c>
      <c r="M103" s="210">
        <v>4</v>
      </c>
      <c r="N103" s="211">
        <v>1.76</v>
      </c>
      <c r="O103" s="211">
        <f t="shared" si="11"/>
        <v>7.04</v>
      </c>
      <c r="P103" s="214"/>
    </row>
    <row r="104" spans="3:16" ht="63.75">
      <c r="C104" s="208" t="s">
        <v>266</v>
      </c>
      <c r="D104" s="209" t="s">
        <v>489</v>
      </c>
      <c r="E104" s="210" t="s">
        <v>65</v>
      </c>
      <c r="F104" s="208" t="s">
        <v>445</v>
      </c>
      <c r="G104" s="211">
        <f t="shared" si="10"/>
        <v>88.64755000000001</v>
      </c>
      <c r="H104" s="208" t="s">
        <v>306</v>
      </c>
      <c r="I104" s="210"/>
      <c r="J104" s="208" t="s">
        <v>459</v>
      </c>
      <c r="K104" s="208" t="s">
        <v>65</v>
      </c>
      <c r="L104" s="208" t="s">
        <v>449</v>
      </c>
      <c r="M104" s="210">
        <v>16.8</v>
      </c>
      <c r="N104" s="211">
        <v>0.53</v>
      </c>
      <c r="O104" s="211">
        <f t="shared" si="11"/>
        <v>8.9040000000000017</v>
      </c>
      <c r="P104" s="214"/>
    </row>
    <row r="105" spans="3:16" ht="63.75">
      <c r="C105" s="208" t="s">
        <v>266</v>
      </c>
      <c r="D105" s="209" t="s">
        <v>489</v>
      </c>
      <c r="E105" s="210" t="s">
        <v>65</v>
      </c>
      <c r="F105" s="208" t="s">
        <v>445</v>
      </c>
      <c r="G105" s="211">
        <f t="shared" si="10"/>
        <v>88.64755000000001</v>
      </c>
      <c r="H105" s="208" t="s">
        <v>306</v>
      </c>
      <c r="I105" s="210"/>
      <c r="J105" s="208" t="s">
        <v>460</v>
      </c>
      <c r="K105" s="208" t="s">
        <v>65</v>
      </c>
      <c r="L105" s="208" t="s">
        <v>449</v>
      </c>
      <c r="M105" s="210">
        <v>16.8</v>
      </c>
      <c r="N105" s="211">
        <v>0.8</v>
      </c>
      <c r="O105" s="211">
        <f t="shared" si="11"/>
        <v>13.440000000000001</v>
      </c>
      <c r="P105" s="214"/>
    </row>
    <row r="106" spans="3:16" ht="63.75">
      <c r="C106" s="208" t="s">
        <v>266</v>
      </c>
      <c r="D106" s="209" t="s">
        <v>489</v>
      </c>
      <c r="E106" s="210" t="s">
        <v>65</v>
      </c>
      <c r="F106" s="208" t="s">
        <v>445</v>
      </c>
      <c r="G106" s="211">
        <f t="shared" si="10"/>
        <v>88.64755000000001</v>
      </c>
      <c r="H106" s="208" t="s">
        <v>306</v>
      </c>
      <c r="I106" s="210"/>
      <c r="J106" s="208" t="s">
        <v>461</v>
      </c>
      <c r="K106" s="208" t="s">
        <v>65</v>
      </c>
      <c r="L106" s="208" t="s">
        <v>449</v>
      </c>
      <c r="M106" s="210">
        <v>16.8</v>
      </c>
      <c r="N106" s="211">
        <v>0.2</v>
      </c>
      <c r="O106" s="211">
        <f t="shared" si="11"/>
        <v>3.3600000000000003</v>
      </c>
      <c r="P106" s="214"/>
    </row>
    <row r="107" spans="3:16" ht="63.75">
      <c r="C107" s="208" t="s">
        <v>266</v>
      </c>
      <c r="D107" s="209" t="s">
        <v>489</v>
      </c>
      <c r="E107" s="210" t="s">
        <v>65</v>
      </c>
      <c r="F107" s="208" t="s">
        <v>445</v>
      </c>
      <c r="G107" s="211">
        <f t="shared" si="10"/>
        <v>88.64755000000001</v>
      </c>
      <c r="H107" s="208" t="s">
        <v>192</v>
      </c>
      <c r="I107" s="210">
        <v>88247</v>
      </c>
      <c r="J107" s="208" t="s">
        <v>455</v>
      </c>
      <c r="K107" s="208" t="s">
        <v>298</v>
      </c>
      <c r="L107" s="208" t="s">
        <v>447</v>
      </c>
      <c r="M107" s="210">
        <v>0.52700000000000002</v>
      </c>
      <c r="N107" s="210">
        <v>20.420000000000002</v>
      </c>
      <c r="O107" s="211">
        <f t="shared" si="11"/>
        <v>10.761340000000001</v>
      </c>
      <c r="P107" s="214"/>
    </row>
    <row r="108" spans="3:16" ht="63.75">
      <c r="C108" s="208" t="s">
        <v>266</v>
      </c>
      <c r="D108" s="209" t="s">
        <v>489</v>
      </c>
      <c r="E108" s="210" t="s">
        <v>65</v>
      </c>
      <c r="F108" s="208" t="s">
        <v>445</v>
      </c>
      <c r="G108" s="211">
        <f t="shared" si="10"/>
        <v>88.64755000000001</v>
      </c>
      <c r="H108" s="208" t="s">
        <v>192</v>
      </c>
      <c r="I108" s="210">
        <v>88264</v>
      </c>
      <c r="J108" s="208" t="s">
        <v>369</v>
      </c>
      <c r="K108" s="208" t="s">
        <v>298</v>
      </c>
      <c r="L108" s="208" t="s">
        <v>447</v>
      </c>
      <c r="M108" s="210">
        <v>0.52700000000000002</v>
      </c>
      <c r="N108" s="210">
        <v>23.23</v>
      </c>
      <c r="O108" s="211">
        <f t="shared" si="11"/>
        <v>12.24221</v>
      </c>
      <c r="P108" s="214"/>
    </row>
    <row r="109" spans="3:16">
      <c r="C109" s="213"/>
      <c r="D109" s="216"/>
      <c r="E109" s="213"/>
      <c r="F109" s="213"/>
      <c r="G109" s="213"/>
      <c r="H109" s="212"/>
      <c r="I109" s="213"/>
      <c r="J109" s="212"/>
      <c r="K109" s="214"/>
      <c r="L109" s="213"/>
      <c r="M109" s="214"/>
      <c r="N109" s="214"/>
      <c r="O109" s="211">
        <f>SUM(O102:O108)</f>
        <v>88.64755000000001</v>
      </c>
      <c r="P109" s="214"/>
    </row>
    <row r="111" spans="3:16" ht="63.75">
      <c r="C111" s="208" t="s">
        <v>491</v>
      </c>
      <c r="D111" s="209" t="s">
        <v>269</v>
      </c>
      <c r="E111" s="210" t="s">
        <v>65</v>
      </c>
      <c r="F111" s="208" t="s">
        <v>445</v>
      </c>
      <c r="G111" s="211">
        <f t="shared" ref="G111:G118" si="12">O$119</f>
        <v>93.64755000000001</v>
      </c>
      <c r="H111" s="212"/>
      <c r="I111" s="213"/>
      <c r="J111" s="212"/>
      <c r="K111" s="214"/>
      <c r="L111" s="213"/>
      <c r="M111" s="214"/>
      <c r="N111" s="214"/>
      <c r="O111" s="215"/>
      <c r="P111" s="214"/>
    </row>
    <row r="112" spans="3:16" ht="63.75">
      <c r="C112" s="208" t="s">
        <v>491</v>
      </c>
      <c r="D112" s="209" t="s">
        <v>269</v>
      </c>
      <c r="E112" s="210" t="s">
        <v>65</v>
      </c>
      <c r="F112" s="208" t="s">
        <v>445</v>
      </c>
      <c r="G112" s="211">
        <f t="shared" si="12"/>
        <v>93.64755000000001</v>
      </c>
      <c r="H112" s="208" t="s">
        <v>306</v>
      </c>
      <c r="I112" s="210" t="s">
        <v>449</v>
      </c>
      <c r="J112" s="208" t="s">
        <v>492</v>
      </c>
      <c r="K112" s="208" t="s">
        <v>65</v>
      </c>
      <c r="L112" s="208" t="s">
        <v>449</v>
      </c>
      <c r="M112" s="210">
        <v>1</v>
      </c>
      <c r="N112" s="211">
        <v>37.9</v>
      </c>
      <c r="O112" s="211">
        <f t="shared" ref="O112:O118" si="13">M112*N112</f>
        <v>37.9</v>
      </c>
      <c r="P112" s="214"/>
    </row>
    <row r="113" spans="3:16" ht="63.75">
      <c r="C113" s="208" t="s">
        <v>491</v>
      </c>
      <c r="D113" s="209" t="s">
        <v>269</v>
      </c>
      <c r="E113" s="210" t="s">
        <v>65</v>
      </c>
      <c r="F113" s="208" t="s">
        <v>445</v>
      </c>
      <c r="G113" s="211">
        <f t="shared" si="12"/>
        <v>93.64755000000001</v>
      </c>
      <c r="H113" s="208" t="s">
        <v>306</v>
      </c>
      <c r="I113" s="210" t="s">
        <v>449</v>
      </c>
      <c r="J113" s="208" t="s">
        <v>458</v>
      </c>
      <c r="K113" s="208" t="s">
        <v>65</v>
      </c>
      <c r="L113" s="208" t="s">
        <v>449</v>
      </c>
      <c r="M113" s="210">
        <v>4</v>
      </c>
      <c r="N113" s="211">
        <v>1.76</v>
      </c>
      <c r="O113" s="211">
        <f t="shared" si="13"/>
        <v>7.04</v>
      </c>
      <c r="P113" s="214"/>
    </row>
    <row r="114" spans="3:16" ht="63.75">
      <c r="C114" s="208" t="s">
        <v>491</v>
      </c>
      <c r="D114" s="209" t="s">
        <v>269</v>
      </c>
      <c r="E114" s="210" t="s">
        <v>65</v>
      </c>
      <c r="F114" s="208" t="s">
        <v>445</v>
      </c>
      <c r="G114" s="211">
        <f t="shared" si="12"/>
        <v>93.64755000000001</v>
      </c>
      <c r="H114" s="208" t="s">
        <v>306</v>
      </c>
      <c r="I114" s="210"/>
      <c r="J114" s="208" t="s">
        <v>459</v>
      </c>
      <c r="K114" s="208" t="s">
        <v>65</v>
      </c>
      <c r="L114" s="208" t="s">
        <v>449</v>
      </c>
      <c r="M114" s="210">
        <v>16.8</v>
      </c>
      <c r="N114" s="211">
        <v>0.53</v>
      </c>
      <c r="O114" s="211">
        <f t="shared" si="13"/>
        <v>8.9040000000000017</v>
      </c>
      <c r="P114" s="214"/>
    </row>
    <row r="115" spans="3:16" ht="63.75">
      <c r="C115" s="208" t="s">
        <v>491</v>
      </c>
      <c r="D115" s="209" t="s">
        <v>269</v>
      </c>
      <c r="E115" s="210" t="s">
        <v>65</v>
      </c>
      <c r="F115" s="208" t="s">
        <v>445</v>
      </c>
      <c r="G115" s="211">
        <f t="shared" si="12"/>
        <v>93.64755000000001</v>
      </c>
      <c r="H115" s="208" t="s">
        <v>306</v>
      </c>
      <c r="I115" s="210"/>
      <c r="J115" s="208" t="s">
        <v>460</v>
      </c>
      <c r="K115" s="208" t="s">
        <v>65</v>
      </c>
      <c r="L115" s="208" t="s">
        <v>449</v>
      </c>
      <c r="M115" s="210">
        <v>16.8</v>
      </c>
      <c r="N115" s="211">
        <v>0.8</v>
      </c>
      <c r="O115" s="211">
        <f t="shared" si="13"/>
        <v>13.440000000000001</v>
      </c>
      <c r="P115" s="214"/>
    </row>
    <row r="116" spans="3:16" ht="63.75">
      <c r="C116" s="208" t="s">
        <v>491</v>
      </c>
      <c r="D116" s="209" t="s">
        <v>269</v>
      </c>
      <c r="E116" s="210" t="s">
        <v>65</v>
      </c>
      <c r="F116" s="208" t="s">
        <v>445</v>
      </c>
      <c r="G116" s="211">
        <f t="shared" si="12"/>
        <v>93.64755000000001</v>
      </c>
      <c r="H116" s="208" t="s">
        <v>306</v>
      </c>
      <c r="I116" s="210"/>
      <c r="J116" s="208" t="s">
        <v>461</v>
      </c>
      <c r="K116" s="208" t="s">
        <v>65</v>
      </c>
      <c r="L116" s="208" t="s">
        <v>449</v>
      </c>
      <c r="M116" s="210">
        <v>16.8</v>
      </c>
      <c r="N116" s="211">
        <v>0.2</v>
      </c>
      <c r="O116" s="211">
        <f t="shared" si="13"/>
        <v>3.3600000000000003</v>
      </c>
      <c r="P116" s="214"/>
    </row>
    <row r="117" spans="3:16" ht="63.75">
      <c r="C117" s="208" t="s">
        <v>491</v>
      </c>
      <c r="D117" s="209" t="s">
        <v>269</v>
      </c>
      <c r="E117" s="210" t="s">
        <v>65</v>
      </c>
      <c r="F117" s="208" t="s">
        <v>445</v>
      </c>
      <c r="G117" s="211">
        <f t="shared" si="12"/>
        <v>93.64755000000001</v>
      </c>
      <c r="H117" s="208" t="s">
        <v>192</v>
      </c>
      <c r="I117" s="210">
        <v>88247</v>
      </c>
      <c r="J117" s="208" t="s">
        <v>455</v>
      </c>
      <c r="K117" s="208" t="s">
        <v>298</v>
      </c>
      <c r="L117" s="208" t="s">
        <v>447</v>
      </c>
      <c r="M117" s="210">
        <v>0.52700000000000002</v>
      </c>
      <c r="N117" s="210">
        <v>20.420000000000002</v>
      </c>
      <c r="O117" s="211">
        <f t="shared" si="13"/>
        <v>10.761340000000001</v>
      </c>
      <c r="P117" s="214"/>
    </row>
    <row r="118" spans="3:16" ht="63.75">
      <c r="C118" s="208" t="s">
        <v>491</v>
      </c>
      <c r="D118" s="209" t="s">
        <v>269</v>
      </c>
      <c r="E118" s="210" t="s">
        <v>65</v>
      </c>
      <c r="F118" s="208" t="s">
        <v>445</v>
      </c>
      <c r="G118" s="211">
        <f t="shared" si="12"/>
        <v>93.64755000000001</v>
      </c>
      <c r="H118" s="208" t="s">
        <v>192</v>
      </c>
      <c r="I118" s="210">
        <v>88264</v>
      </c>
      <c r="J118" s="208" t="s">
        <v>369</v>
      </c>
      <c r="K118" s="208" t="s">
        <v>298</v>
      </c>
      <c r="L118" s="208" t="s">
        <v>447</v>
      </c>
      <c r="M118" s="210">
        <v>0.52700000000000002</v>
      </c>
      <c r="N118" s="210">
        <v>23.23</v>
      </c>
      <c r="O118" s="211">
        <f t="shared" si="13"/>
        <v>12.24221</v>
      </c>
      <c r="P118" s="214"/>
    </row>
    <row r="119" spans="3:16">
      <c r="C119" s="213"/>
      <c r="D119" s="216"/>
      <c r="E119" s="213"/>
      <c r="F119" s="213"/>
      <c r="G119" s="213"/>
      <c r="H119" s="212"/>
      <c r="I119" s="213"/>
      <c r="J119" s="212"/>
      <c r="K119" s="214"/>
      <c r="L119" s="213"/>
      <c r="M119" s="214"/>
      <c r="N119" s="214"/>
      <c r="O119" s="211">
        <f>SUM(O112:O118)</f>
        <v>93.64755000000001</v>
      </c>
      <c r="P119" s="214"/>
    </row>
    <row r="121" spans="3:16" ht="38.25">
      <c r="C121" s="208" t="s">
        <v>272</v>
      </c>
      <c r="D121" s="209" t="s">
        <v>273</v>
      </c>
      <c r="E121" s="210" t="s">
        <v>65</v>
      </c>
      <c r="F121" s="208" t="s">
        <v>18</v>
      </c>
      <c r="G121" s="211">
        <f>O$126</f>
        <v>94.216896000000006</v>
      </c>
      <c r="H121" s="212"/>
      <c r="I121" s="213"/>
      <c r="J121" s="212"/>
      <c r="K121" s="214"/>
      <c r="L121" s="213"/>
      <c r="M121" s="214"/>
      <c r="N121" s="214"/>
      <c r="O121" s="215"/>
      <c r="P121" s="214"/>
    </row>
    <row r="122" spans="3:16" ht="63.75">
      <c r="C122" s="208" t="s">
        <v>272</v>
      </c>
      <c r="D122" s="209" t="s">
        <v>273</v>
      </c>
      <c r="E122" s="210" t="s">
        <v>65</v>
      </c>
      <c r="F122" s="208" t="s">
        <v>18</v>
      </c>
      <c r="G122" s="211">
        <f>O$126</f>
        <v>94.216896000000006</v>
      </c>
      <c r="H122" s="208" t="s">
        <v>306</v>
      </c>
      <c r="I122" s="210">
        <v>39812</v>
      </c>
      <c r="J122" s="208" t="s">
        <v>493</v>
      </c>
      <c r="K122" s="208" t="s">
        <v>65</v>
      </c>
      <c r="L122" s="208" t="s">
        <v>445</v>
      </c>
      <c r="M122" s="210">
        <v>1</v>
      </c>
      <c r="N122" s="211">
        <v>67.5</v>
      </c>
      <c r="O122" s="211">
        <f>M122*N122</f>
        <v>67.5</v>
      </c>
      <c r="P122" s="214"/>
    </row>
    <row r="123" spans="3:16" ht="63.75">
      <c r="C123" s="208" t="s">
        <v>272</v>
      </c>
      <c r="D123" s="209" t="s">
        <v>273</v>
      </c>
      <c r="E123" s="210" t="s">
        <v>65</v>
      </c>
      <c r="F123" s="208" t="s">
        <v>18</v>
      </c>
      <c r="G123" s="211">
        <f>O$126</f>
        <v>94.216896000000006</v>
      </c>
      <c r="H123" s="208" t="s">
        <v>192</v>
      </c>
      <c r="I123" s="210">
        <v>88629</v>
      </c>
      <c r="J123" s="208" t="s">
        <v>494</v>
      </c>
      <c r="K123" s="208" t="s">
        <v>23</v>
      </c>
      <c r="L123" s="208" t="s">
        <v>445</v>
      </c>
      <c r="M123" s="210">
        <v>1.1999999999999999E-3</v>
      </c>
      <c r="N123" s="211">
        <v>584.58000000000004</v>
      </c>
      <c r="O123" s="211">
        <f>M123*N123</f>
        <v>0.70149600000000001</v>
      </c>
      <c r="P123" s="214"/>
    </row>
    <row r="124" spans="3:16" ht="63.75">
      <c r="C124" s="208" t="s">
        <v>272</v>
      </c>
      <c r="D124" s="209" t="s">
        <v>273</v>
      </c>
      <c r="E124" s="210" t="s">
        <v>65</v>
      </c>
      <c r="F124" s="208" t="s">
        <v>18</v>
      </c>
      <c r="G124" s="211">
        <f>O$126</f>
        <v>94.216896000000006</v>
      </c>
      <c r="H124" s="208" t="s">
        <v>192</v>
      </c>
      <c r="I124" s="210">
        <v>88247</v>
      </c>
      <c r="J124" s="208" t="s">
        <v>446</v>
      </c>
      <c r="K124" s="208" t="s">
        <v>298</v>
      </c>
      <c r="L124" s="208" t="s">
        <v>445</v>
      </c>
      <c r="M124" s="210">
        <v>0.59599999999999997</v>
      </c>
      <c r="N124" s="210">
        <v>20.420000000000002</v>
      </c>
      <c r="O124" s="211">
        <f>M124*N124</f>
        <v>12.17032</v>
      </c>
      <c r="P124" s="214"/>
    </row>
    <row r="125" spans="3:16" ht="38.25">
      <c r="C125" s="208" t="s">
        <v>272</v>
      </c>
      <c r="D125" s="209" t="s">
        <v>273</v>
      </c>
      <c r="E125" s="210" t="s">
        <v>65</v>
      </c>
      <c r="F125" s="208" t="s">
        <v>18</v>
      </c>
      <c r="G125" s="211">
        <f>O$126</f>
        <v>94.216896000000006</v>
      </c>
      <c r="H125" s="208" t="s">
        <v>192</v>
      </c>
      <c r="I125" s="210">
        <v>88264</v>
      </c>
      <c r="J125" s="208" t="s">
        <v>369</v>
      </c>
      <c r="K125" s="208" t="s">
        <v>298</v>
      </c>
      <c r="L125" s="208" t="s">
        <v>447</v>
      </c>
      <c r="M125" s="210">
        <v>0.59599999999999997</v>
      </c>
      <c r="N125" s="210">
        <v>23.23</v>
      </c>
      <c r="O125" s="211">
        <f>M125*N125</f>
        <v>13.845079999999999</v>
      </c>
      <c r="P125" s="214"/>
    </row>
    <row r="126" spans="3:16">
      <c r="C126" s="213"/>
      <c r="D126" s="216"/>
      <c r="E126" s="213"/>
      <c r="F126" s="213"/>
      <c r="G126" s="213"/>
      <c r="H126" s="212"/>
      <c r="I126" s="213"/>
      <c r="J126" s="212"/>
      <c r="K126" s="214"/>
      <c r="L126" s="213"/>
      <c r="M126" s="214"/>
      <c r="N126" s="214"/>
      <c r="O126" s="211">
        <f>SUM(O122:O125)</f>
        <v>94.216896000000006</v>
      </c>
      <c r="P126" s="214"/>
    </row>
    <row r="128" spans="3:16" ht="25.5">
      <c r="C128" s="208" t="s">
        <v>276</v>
      </c>
      <c r="D128" s="209" t="s">
        <v>277</v>
      </c>
      <c r="E128" s="210" t="s">
        <v>65</v>
      </c>
      <c r="F128" s="208" t="s">
        <v>18</v>
      </c>
      <c r="G128" s="211">
        <f>O$132</f>
        <v>510.00053500000001</v>
      </c>
      <c r="H128" s="212"/>
      <c r="I128" s="213"/>
      <c r="J128" s="212"/>
      <c r="K128" s="214"/>
      <c r="L128" s="213"/>
      <c r="M128" s="214"/>
      <c r="N128" s="214"/>
      <c r="O128" s="215"/>
      <c r="P128" s="214"/>
    </row>
    <row r="129" spans="3:16" ht="25.5">
      <c r="C129" s="208" t="s">
        <v>276</v>
      </c>
      <c r="D129" s="209" t="s">
        <v>277</v>
      </c>
      <c r="E129" s="210" t="s">
        <v>65</v>
      </c>
      <c r="F129" s="208" t="s">
        <v>18</v>
      </c>
      <c r="G129" s="211">
        <f>O$132</f>
        <v>510.00053500000001</v>
      </c>
      <c r="H129" s="208" t="s">
        <v>306</v>
      </c>
      <c r="I129" s="210"/>
      <c r="J129" s="220" t="s">
        <v>495</v>
      </c>
      <c r="K129" s="208" t="s">
        <v>65</v>
      </c>
      <c r="L129" s="208" t="s">
        <v>18</v>
      </c>
      <c r="M129" s="210">
        <v>1</v>
      </c>
      <c r="N129" s="211">
        <v>465.22</v>
      </c>
      <c r="O129" s="211">
        <f>M129*N129</f>
        <v>465.22</v>
      </c>
      <c r="P129" s="214"/>
    </row>
    <row r="130" spans="3:16" ht="63.75">
      <c r="C130" s="208" t="s">
        <v>276</v>
      </c>
      <c r="D130" s="209" t="s">
        <v>277</v>
      </c>
      <c r="E130" s="210" t="s">
        <v>65</v>
      </c>
      <c r="F130" s="208" t="s">
        <v>18</v>
      </c>
      <c r="G130" s="211">
        <f>O$132</f>
        <v>510.00053500000001</v>
      </c>
      <c r="H130" s="208" t="s">
        <v>192</v>
      </c>
      <c r="I130" s="210">
        <v>88247</v>
      </c>
      <c r="J130" s="208" t="s">
        <v>446</v>
      </c>
      <c r="K130" s="208" t="s">
        <v>298</v>
      </c>
      <c r="L130" s="208" t="s">
        <v>445</v>
      </c>
      <c r="M130" s="210">
        <v>1.0259</v>
      </c>
      <c r="N130" s="210">
        <v>20.420000000000002</v>
      </c>
      <c r="O130" s="211">
        <f>M130*N130</f>
        <v>20.948878000000004</v>
      </c>
      <c r="P130" s="214"/>
    </row>
    <row r="131" spans="3:16" ht="25.5">
      <c r="C131" s="208" t="s">
        <v>276</v>
      </c>
      <c r="D131" s="209" t="s">
        <v>277</v>
      </c>
      <c r="E131" s="210" t="s">
        <v>65</v>
      </c>
      <c r="F131" s="208" t="s">
        <v>18</v>
      </c>
      <c r="G131" s="211">
        <f>O$132</f>
        <v>510.00053500000001</v>
      </c>
      <c r="H131" s="208" t="s">
        <v>192</v>
      </c>
      <c r="I131" s="210">
        <v>88264</v>
      </c>
      <c r="J131" s="208" t="s">
        <v>369</v>
      </c>
      <c r="K131" s="208" t="s">
        <v>298</v>
      </c>
      <c r="L131" s="208" t="s">
        <v>447</v>
      </c>
      <c r="M131" s="210">
        <v>1.0259</v>
      </c>
      <c r="N131" s="210">
        <v>23.23</v>
      </c>
      <c r="O131" s="211">
        <f>M131*N131</f>
        <v>23.831657</v>
      </c>
      <c r="P131" s="214"/>
    </row>
    <row r="132" spans="3:16">
      <c r="C132" s="213"/>
      <c r="D132" s="216"/>
      <c r="E132" s="213"/>
      <c r="F132" s="213"/>
      <c r="G132" s="213"/>
      <c r="H132" s="212"/>
      <c r="I132" s="213"/>
      <c r="J132" s="212"/>
      <c r="K132" s="214"/>
      <c r="L132" s="213"/>
      <c r="M132" s="214"/>
      <c r="N132" s="214"/>
      <c r="O132" s="211">
        <f>SUM(O129:O131)</f>
        <v>510.00053500000001</v>
      </c>
      <c r="P132" s="214"/>
    </row>
    <row r="134" spans="3:16">
      <c r="C134" s="208" t="s">
        <v>278</v>
      </c>
      <c r="D134" s="209" t="s">
        <v>279</v>
      </c>
      <c r="E134" s="210" t="s">
        <v>47</v>
      </c>
      <c r="F134" s="208" t="s">
        <v>18</v>
      </c>
      <c r="G134" s="211">
        <f>O$138</f>
        <v>10.826250000000002</v>
      </c>
      <c r="H134" s="212"/>
      <c r="I134" s="213"/>
      <c r="J134" s="212"/>
      <c r="K134" s="214"/>
      <c r="L134" s="213"/>
      <c r="M134" s="214"/>
      <c r="N134" s="214"/>
      <c r="O134" s="215"/>
      <c r="P134" s="214"/>
    </row>
    <row r="135" spans="3:16" ht="22.5">
      <c r="C135" s="208" t="s">
        <v>278</v>
      </c>
      <c r="D135" s="209" t="s">
        <v>279</v>
      </c>
      <c r="E135" s="210" t="s">
        <v>47</v>
      </c>
      <c r="F135" s="208" t="s">
        <v>18</v>
      </c>
      <c r="G135" s="211">
        <f>O$138</f>
        <v>10.826250000000002</v>
      </c>
      <c r="H135" s="208" t="s">
        <v>306</v>
      </c>
      <c r="I135" s="210"/>
      <c r="J135" s="220" t="s">
        <v>496</v>
      </c>
      <c r="K135" s="208" t="s">
        <v>65</v>
      </c>
      <c r="L135" s="208" t="s">
        <v>18</v>
      </c>
      <c r="M135" s="210">
        <v>1.05</v>
      </c>
      <c r="N135" s="211">
        <v>8.44</v>
      </c>
      <c r="O135" s="211">
        <f>M135*N135</f>
        <v>8.8620000000000001</v>
      </c>
      <c r="P135" s="214"/>
    </row>
    <row r="136" spans="3:16" ht="63.75">
      <c r="C136" s="208" t="s">
        <v>278</v>
      </c>
      <c r="D136" s="209" t="s">
        <v>279</v>
      </c>
      <c r="E136" s="210" t="s">
        <v>47</v>
      </c>
      <c r="F136" s="208" t="s">
        <v>18</v>
      </c>
      <c r="G136" s="211">
        <f>O$138</f>
        <v>10.826250000000002</v>
      </c>
      <c r="H136" s="208" t="s">
        <v>192</v>
      </c>
      <c r="I136" s="210">
        <v>88247</v>
      </c>
      <c r="J136" s="208" t="s">
        <v>446</v>
      </c>
      <c r="K136" s="208" t="s">
        <v>298</v>
      </c>
      <c r="L136" s="208" t="s">
        <v>445</v>
      </c>
      <c r="M136" s="210">
        <v>4.4999999999999998E-2</v>
      </c>
      <c r="N136" s="210">
        <v>20.420000000000002</v>
      </c>
      <c r="O136" s="211">
        <f>M136*N136</f>
        <v>0.91890000000000005</v>
      </c>
      <c r="P136" s="214"/>
    </row>
    <row r="137" spans="3:16" ht="25.5">
      <c r="C137" s="208" t="s">
        <v>278</v>
      </c>
      <c r="D137" s="209" t="s">
        <v>279</v>
      </c>
      <c r="E137" s="210" t="s">
        <v>47</v>
      </c>
      <c r="F137" s="208" t="s">
        <v>18</v>
      </c>
      <c r="G137" s="211">
        <f>O$138</f>
        <v>10.826250000000002</v>
      </c>
      <c r="H137" s="208" t="s">
        <v>192</v>
      </c>
      <c r="I137" s="210">
        <v>88264</v>
      </c>
      <c r="J137" s="208" t="s">
        <v>369</v>
      </c>
      <c r="K137" s="208" t="s">
        <v>298</v>
      </c>
      <c r="L137" s="208" t="s">
        <v>447</v>
      </c>
      <c r="M137" s="210">
        <v>4.4999999999999998E-2</v>
      </c>
      <c r="N137" s="210">
        <v>23.23</v>
      </c>
      <c r="O137" s="211">
        <f>M137*N137</f>
        <v>1.04535</v>
      </c>
      <c r="P137" s="214"/>
    </row>
    <row r="138" spans="3:16">
      <c r="C138" s="213"/>
      <c r="D138" s="216"/>
      <c r="E138" s="213"/>
      <c r="F138" s="213"/>
      <c r="G138" s="213"/>
      <c r="H138" s="212"/>
      <c r="I138" s="213"/>
      <c r="J138" s="212"/>
      <c r="K138" s="214"/>
      <c r="L138" s="213"/>
      <c r="M138" s="214"/>
      <c r="N138" s="214"/>
      <c r="O138" s="211">
        <f>SUM(O135:O137)</f>
        <v>10.826250000000002</v>
      </c>
      <c r="P138" s="214"/>
    </row>
    <row r="140" spans="3:16">
      <c r="C140" s="208" t="s">
        <v>280</v>
      </c>
      <c r="D140" s="221" t="s">
        <v>281</v>
      </c>
      <c r="E140" s="210" t="s">
        <v>134</v>
      </c>
      <c r="F140" s="208" t="s">
        <v>18</v>
      </c>
      <c r="G140" s="211">
        <f>O$143</f>
        <v>109.125</v>
      </c>
      <c r="H140" s="212"/>
      <c r="I140" s="213"/>
      <c r="J140" s="212"/>
      <c r="K140" s="214"/>
      <c r="L140" s="213"/>
      <c r="M140" s="214"/>
      <c r="N140" s="214"/>
      <c r="O140" s="215"/>
    </row>
    <row r="141" spans="3:16" ht="63.75">
      <c r="C141" s="208" t="s">
        <v>280</v>
      </c>
      <c r="D141" s="221" t="s">
        <v>281</v>
      </c>
      <c r="E141" s="210" t="s">
        <v>134</v>
      </c>
      <c r="F141" s="208" t="s">
        <v>18</v>
      </c>
      <c r="G141" s="211">
        <f>O$143</f>
        <v>109.125</v>
      </c>
      <c r="H141" s="208" t="s">
        <v>192</v>
      </c>
      <c r="I141" s="210">
        <v>88247</v>
      </c>
      <c r="J141" s="208" t="s">
        <v>446</v>
      </c>
      <c r="K141" s="208" t="s">
        <v>298</v>
      </c>
      <c r="L141" s="208" t="s">
        <v>445</v>
      </c>
      <c r="M141" s="210">
        <v>2.5</v>
      </c>
      <c r="N141" s="210">
        <v>20.420000000000002</v>
      </c>
      <c r="O141" s="211">
        <f>M141*N141</f>
        <v>51.050000000000004</v>
      </c>
    </row>
    <row r="142" spans="3:16" ht="25.5">
      <c r="C142" s="208" t="s">
        <v>280</v>
      </c>
      <c r="D142" s="221" t="s">
        <v>281</v>
      </c>
      <c r="E142" s="210" t="s">
        <v>134</v>
      </c>
      <c r="F142" s="208" t="s">
        <v>18</v>
      </c>
      <c r="G142" s="211">
        <f>O$143</f>
        <v>109.125</v>
      </c>
      <c r="H142" s="208" t="s">
        <v>192</v>
      </c>
      <c r="I142" s="210">
        <v>88264</v>
      </c>
      <c r="J142" s="208" t="s">
        <v>369</v>
      </c>
      <c r="K142" s="208" t="s">
        <v>298</v>
      </c>
      <c r="L142" s="208" t="s">
        <v>447</v>
      </c>
      <c r="M142" s="210">
        <v>2.5</v>
      </c>
      <c r="N142" s="210">
        <v>23.23</v>
      </c>
      <c r="O142" s="211">
        <f>M142*N142</f>
        <v>58.075000000000003</v>
      </c>
    </row>
    <row r="143" spans="3:16">
      <c r="C143" s="213"/>
      <c r="D143" s="216"/>
      <c r="E143" s="213"/>
      <c r="F143" s="213"/>
      <c r="G143" s="213"/>
      <c r="H143" s="212"/>
      <c r="I143" s="213"/>
      <c r="J143" s="212"/>
      <c r="K143" s="214"/>
      <c r="L143" s="213"/>
      <c r="M143" s="214"/>
      <c r="N143" s="214"/>
      <c r="O143" s="211">
        <f>SUM(O141:O142)</f>
        <v>109.125</v>
      </c>
    </row>
  </sheetData>
  <mergeCells count="1">
    <mergeCell ref="B2:O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8"/>
  <sheetViews>
    <sheetView view="pageBreakPreview" zoomScale="60" zoomScaleNormal="100" workbookViewId="0">
      <selection sqref="A1:O42"/>
    </sheetView>
  </sheetViews>
  <sheetFormatPr defaultRowHeight="15"/>
  <cols>
    <col min="3" max="3" width="36.5703125" customWidth="1"/>
    <col min="4" max="4" width="10" bestFit="1" customWidth="1"/>
    <col min="5" max="5" width="11.42578125" customWidth="1"/>
    <col min="7" max="7" width="5.28515625" customWidth="1"/>
    <col min="8" max="8" width="0.140625" customWidth="1"/>
    <col min="9" max="9" width="38.28515625" hidden="1" customWidth="1"/>
    <col min="10" max="10" width="8" hidden="1" customWidth="1"/>
    <col min="11" max="12" width="8.85546875" hidden="1" customWidth="1"/>
    <col min="13" max="13" width="1.7109375" hidden="1" customWidth="1"/>
    <col min="14" max="15" width="8.85546875" hidden="1" customWidth="1"/>
    <col min="19" max="19" width="52.28515625" bestFit="1" customWidth="1"/>
    <col min="20" max="20" width="9.5703125" bestFit="1" customWidth="1"/>
  </cols>
  <sheetData>
    <row r="1" spans="1:28" ht="14.45" customHeight="1">
      <c r="A1" s="414" t="s">
        <v>562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6"/>
      <c r="S1" s="245" t="s">
        <v>563</v>
      </c>
      <c r="T1" s="246"/>
      <c r="U1" s="246"/>
      <c r="V1" s="246"/>
      <c r="W1" s="246"/>
      <c r="X1" s="246"/>
    </row>
    <row r="2" spans="1:28" ht="14.45" customHeight="1" thickBot="1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9"/>
    </row>
    <row r="3" spans="1:28" ht="15" customHeight="1" thickBot="1">
      <c r="A3" s="420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2"/>
      <c r="S3" s="423" t="s">
        <v>564</v>
      </c>
      <c r="T3" s="425" t="s">
        <v>565</v>
      </c>
      <c r="U3" s="426"/>
      <c r="V3" s="427"/>
      <c r="W3" s="425" t="s">
        <v>566</v>
      </c>
      <c r="X3" s="426"/>
      <c r="Y3" s="427"/>
      <c r="Z3" s="426" t="s">
        <v>567</v>
      </c>
      <c r="AA3" s="426"/>
      <c r="AB3" s="427"/>
    </row>
    <row r="4" spans="1:28" ht="15.75" thickBot="1">
      <c r="B4" t="s">
        <v>568</v>
      </c>
      <c r="S4" s="424"/>
      <c r="T4" s="247" t="s">
        <v>569</v>
      </c>
      <c r="U4" s="248" t="s">
        <v>570</v>
      </c>
      <c r="V4" s="249" t="s">
        <v>571</v>
      </c>
      <c r="W4" s="247" t="s">
        <v>569</v>
      </c>
      <c r="X4" s="248" t="s">
        <v>570</v>
      </c>
      <c r="Y4" s="249" t="s">
        <v>571</v>
      </c>
      <c r="Z4" s="247" t="s">
        <v>569</v>
      </c>
      <c r="AA4" s="248" t="s">
        <v>570</v>
      </c>
      <c r="AB4" s="249" t="s">
        <v>571</v>
      </c>
    </row>
    <row r="5" spans="1:28" ht="15.75" thickBot="1">
      <c r="B5" s="250" t="s">
        <v>572</v>
      </c>
      <c r="C5" s="250"/>
      <c r="D5" s="245"/>
      <c r="E5" s="245"/>
      <c r="M5" s="251"/>
      <c r="N5" s="252"/>
      <c r="S5" s="253" t="s">
        <v>573</v>
      </c>
      <c r="T5" s="254">
        <v>0.03</v>
      </c>
      <c r="U5" s="255">
        <v>0.04</v>
      </c>
      <c r="V5" s="256">
        <v>5.5E-2</v>
      </c>
      <c r="W5" s="257">
        <v>8.0000000000000002E-3</v>
      </c>
      <c r="X5" s="255">
        <v>8.0000000000000002E-3</v>
      </c>
      <c r="Y5" s="256">
        <v>0.01</v>
      </c>
      <c r="Z5" s="257">
        <v>9.7000000000000003E-3</v>
      </c>
      <c r="AA5" s="258">
        <v>1.2699999999999999E-2</v>
      </c>
      <c r="AB5" s="256">
        <v>1.2699999999999999E-2</v>
      </c>
    </row>
    <row r="6" spans="1:28" ht="15.75" thickBot="1">
      <c r="S6" s="253" t="s">
        <v>574</v>
      </c>
      <c r="T6" s="254">
        <v>3.7999999999999999E-2</v>
      </c>
      <c r="U6" s="255">
        <v>4.0099999999999997E-2</v>
      </c>
      <c r="V6" s="256">
        <v>4.6699999999999998E-2</v>
      </c>
      <c r="W6" s="257">
        <v>3.2000000000000002E-3</v>
      </c>
      <c r="X6" s="255">
        <v>4.0000000000000001E-3</v>
      </c>
      <c r="Y6" s="256">
        <v>7.4000000000000003E-3</v>
      </c>
      <c r="Z6" s="257">
        <v>5.0000000000000001E-3</v>
      </c>
      <c r="AA6" s="258">
        <v>5.5999999999999999E-3</v>
      </c>
      <c r="AB6" s="256">
        <v>9.7000000000000003E-3</v>
      </c>
    </row>
    <row r="7" spans="1:28" ht="30.75" thickBot="1">
      <c r="A7" s="259"/>
      <c r="B7" s="435" t="s">
        <v>4</v>
      </c>
      <c r="C7" s="437" t="s">
        <v>575</v>
      </c>
      <c r="D7" s="260" t="s">
        <v>576</v>
      </c>
      <c r="E7" s="261" t="s">
        <v>576</v>
      </c>
      <c r="F7" s="262"/>
      <c r="G7" s="263"/>
      <c r="M7" s="264"/>
      <c r="N7" s="265"/>
      <c r="S7" s="266" t="s">
        <v>577</v>
      </c>
      <c r="T7" s="267">
        <v>3.4299999999999997E-2</v>
      </c>
      <c r="U7" s="268">
        <v>4.9299999999999997E-2</v>
      </c>
      <c r="V7" s="269">
        <v>6.7100000000000007E-2</v>
      </c>
      <c r="W7" s="267">
        <v>2.8E-3</v>
      </c>
      <c r="X7" s="268">
        <v>4.8999999999999998E-3</v>
      </c>
      <c r="Y7" s="269">
        <v>7.4999999999999997E-3</v>
      </c>
      <c r="Z7" s="267">
        <v>0.01</v>
      </c>
      <c r="AA7" s="268">
        <v>1.3899999999999999E-2</v>
      </c>
      <c r="AB7" s="269">
        <v>1.7399999999999999E-2</v>
      </c>
    </row>
    <row r="8" spans="1:28" ht="30.75" thickBot="1">
      <c r="A8" s="259"/>
      <c r="B8" s="436"/>
      <c r="C8" s="438"/>
      <c r="D8" s="270" t="s">
        <v>578</v>
      </c>
      <c r="E8" s="271" t="s">
        <v>579</v>
      </c>
      <c r="F8" s="262"/>
      <c r="G8" s="263"/>
      <c r="M8" s="272"/>
      <c r="N8" s="273"/>
      <c r="S8" s="274" t="s">
        <v>580</v>
      </c>
      <c r="T8" s="267">
        <v>5.2900000000000003E-2</v>
      </c>
      <c r="U8" s="268">
        <v>5.9200000000000003E-2</v>
      </c>
      <c r="V8" s="269">
        <v>7.9299999999999995E-2</v>
      </c>
      <c r="W8" s="267">
        <v>2.5000000000000001E-3</v>
      </c>
      <c r="X8" s="268">
        <v>5.1000000000000004E-3</v>
      </c>
      <c r="Y8" s="269">
        <v>5.5999999999999999E-3</v>
      </c>
      <c r="Z8" s="267">
        <v>0.01</v>
      </c>
      <c r="AA8" s="268">
        <v>1.4800000000000001E-2</v>
      </c>
      <c r="AB8" s="269">
        <v>1.9699999999999999E-2</v>
      </c>
    </row>
    <row r="9" spans="1:28" ht="15.75" thickBot="1">
      <c r="A9" s="259"/>
      <c r="B9" s="275"/>
      <c r="C9" s="276"/>
      <c r="D9" s="277"/>
      <c r="E9" s="278"/>
      <c r="F9" s="262"/>
      <c r="G9" s="263"/>
      <c r="M9" s="272"/>
      <c r="N9" s="273"/>
      <c r="S9" s="279" t="s">
        <v>581</v>
      </c>
      <c r="T9" s="280">
        <v>0.04</v>
      </c>
      <c r="U9" s="281">
        <v>5.5199999999999999E-2</v>
      </c>
      <c r="V9" s="282">
        <v>7.85E-2</v>
      </c>
      <c r="W9" s="283">
        <v>0.81</v>
      </c>
      <c r="X9" s="284">
        <v>1.2200000000000001E-2</v>
      </c>
      <c r="Y9" s="282">
        <v>1.9900000000000001E-2</v>
      </c>
      <c r="Z9" s="280">
        <v>1.46E-2</v>
      </c>
      <c r="AA9" s="284">
        <v>2.3199999999999998E-2</v>
      </c>
      <c r="AB9" s="282">
        <v>3.1600000000000003E-2</v>
      </c>
    </row>
    <row r="10" spans="1:28" ht="15.75" thickBot="1">
      <c r="A10" s="259"/>
      <c r="B10" s="285">
        <v>1</v>
      </c>
      <c r="C10" s="286" t="s">
        <v>582</v>
      </c>
      <c r="D10" s="287" t="s">
        <v>207</v>
      </c>
      <c r="E10" s="288">
        <v>3.8</v>
      </c>
      <c r="F10" s="289"/>
      <c r="G10" s="290"/>
      <c r="M10" s="272"/>
      <c r="N10" s="273"/>
    </row>
    <row r="11" spans="1:28" ht="15.75" thickBot="1">
      <c r="A11" s="259"/>
      <c r="B11" s="291" t="s">
        <v>13</v>
      </c>
      <c r="C11" s="292" t="s">
        <v>583</v>
      </c>
      <c r="D11" s="293" t="s">
        <v>207</v>
      </c>
      <c r="E11" s="294" t="s">
        <v>207</v>
      </c>
      <c r="F11" s="295"/>
      <c r="G11" s="296"/>
      <c r="M11" s="272"/>
      <c r="N11" s="273"/>
      <c r="S11" s="440" t="s">
        <v>564</v>
      </c>
      <c r="T11" s="441"/>
      <c r="U11" s="428" t="s">
        <v>584</v>
      </c>
      <c r="V11" s="429"/>
      <c r="W11" s="429"/>
      <c r="X11" s="428" t="s">
        <v>585</v>
      </c>
      <c r="Y11" s="429"/>
      <c r="Z11" s="430"/>
    </row>
    <row r="12" spans="1:28" ht="15.75" thickBot="1">
      <c r="A12" s="259"/>
      <c r="B12" s="291" t="s">
        <v>15</v>
      </c>
      <c r="C12" s="292" t="s">
        <v>586</v>
      </c>
      <c r="D12" s="293" t="s">
        <v>207</v>
      </c>
      <c r="E12" s="294" t="s">
        <v>207</v>
      </c>
      <c r="F12" s="295"/>
      <c r="G12" s="296"/>
      <c r="M12" s="272"/>
      <c r="N12" s="273"/>
      <c r="S12" s="442"/>
      <c r="T12" s="443"/>
      <c r="U12" s="297" t="s">
        <v>569</v>
      </c>
      <c r="V12" s="298" t="s">
        <v>570</v>
      </c>
      <c r="W12" s="299" t="s">
        <v>571</v>
      </c>
      <c r="X12" s="297" t="s">
        <v>569</v>
      </c>
      <c r="Y12" s="298" t="s">
        <v>570</v>
      </c>
      <c r="Z12" s="300" t="s">
        <v>571</v>
      </c>
    </row>
    <row r="13" spans="1:28" ht="15.75" thickBot="1">
      <c r="A13" s="259"/>
      <c r="B13" s="291" t="s">
        <v>17</v>
      </c>
      <c r="C13" s="292" t="s">
        <v>587</v>
      </c>
      <c r="D13" s="293" t="s">
        <v>207</v>
      </c>
      <c r="E13" s="294" t="s">
        <v>207</v>
      </c>
      <c r="F13" s="295"/>
      <c r="G13" s="296"/>
      <c r="M13" s="272"/>
      <c r="N13" s="273"/>
      <c r="S13" s="431" t="s">
        <v>573</v>
      </c>
      <c r="T13" s="432"/>
      <c r="U13" s="280">
        <v>5.8999999999999999E-3</v>
      </c>
      <c r="V13" s="284">
        <v>1.23E-2</v>
      </c>
      <c r="W13" s="301">
        <v>1.3899999999999999E-2</v>
      </c>
      <c r="X13" s="280">
        <v>6.1600000000000002E-2</v>
      </c>
      <c r="Y13" s="284">
        <v>7.3999999999999996E-2</v>
      </c>
      <c r="Z13" s="282">
        <v>8.9599999999999999E-2</v>
      </c>
    </row>
    <row r="14" spans="1:28" ht="15.75" thickBot="1">
      <c r="A14" s="259"/>
      <c r="B14" s="302" t="s">
        <v>207</v>
      </c>
      <c r="C14" s="292" t="s">
        <v>207</v>
      </c>
      <c r="D14" s="293" t="s">
        <v>207</v>
      </c>
      <c r="E14" s="294" t="s">
        <v>207</v>
      </c>
      <c r="F14" s="295"/>
      <c r="G14" s="296"/>
      <c r="M14" s="272"/>
      <c r="N14" s="273"/>
      <c r="S14" s="431" t="s">
        <v>574</v>
      </c>
      <c r="T14" s="432"/>
      <c r="U14" s="280">
        <v>1.0200000000000001E-2</v>
      </c>
      <c r="V14" s="284">
        <v>1.11E-2</v>
      </c>
      <c r="W14" s="301">
        <v>1.21E-2</v>
      </c>
      <c r="X14" s="280">
        <v>6.6400000000000001E-2</v>
      </c>
      <c r="Y14" s="284">
        <v>7.2999999999999995E-2</v>
      </c>
      <c r="Z14" s="282">
        <v>8.6900000000000005E-2</v>
      </c>
    </row>
    <row r="15" spans="1:28" ht="15.75" customHeight="1" thickBot="1">
      <c r="A15" s="259"/>
      <c r="B15" s="285">
        <v>2</v>
      </c>
      <c r="C15" s="286" t="s">
        <v>588</v>
      </c>
      <c r="D15" s="303">
        <f>SUM(D16:D19)</f>
        <v>10.15</v>
      </c>
      <c r="E15" s="304"/>
      <c r="F15" s="295"/>
      <c r="G15" s="290"/>
      <c r="M15" s="272"/>
      <c r="N15" s="273"/>
      <c r="S15" s="433" t="s">
        <v>577</v>
      </c>
      <c r="T15" s="434"/>
      <c r="U15" s="267">
        <v>9.4000000000000004E-3</v>
      </c>
      <c r="V15" s="268">
        <v>9.9000000000000008E-3</v>
      </c>
      <c r="W15" s="305">
        <v>1.17E-2</v>
      </c>
      <c r="X15" s="267">
        <v>6.7400000000000002E-2</v>
      </c>
      <c r="Y15" s="268">
        <v>8.0399999999999999E-2</v>
      </c>
      <c r="Z15" s="269">
        <v>9.4E-2</v>
      </c>
    </row>
    <row r="16" spans="1:28" ht="15.75" customHeight="1" thickBot="1">
      <c r="A16" s="259"/>
      <c r="B16" s="306" t="s">
        <v>21</v>
      </c>
      <c r="C16" s="307" t="s">
        <v>589</v>
      </c>
      <c r="D16" s="293">
        <v>2</v>
      </c>
      <c r="E16" s="294"/>
      <c r="F16" s="295"/>
      <c r="G16" s="296"/>
      <c r="M16" s="272"/>
      <c r="N16" s="273"/>
      <c r="S16" s="433" t="s">
        <v>580</v>
      </c>
      <c r="T16" s="434"/>
      <c r="U16" s="267">
        <v>1.01E-2</v>
      </c>
      <c r="V16" s="268">
        <v>1.0699999999999999E-2</v>
      </c>
      <c r="W16" s="305">
        <v>1.11E-2</v>
      </c>
      <c r="X16" s="267">
        <v>0.08</v>
      </c>
      <c r="Y16" s="268">
        <v>8.3099999999999993E-2</v>
      </c>
      <c r="Z16" s="269">
        <v>9.5100000000000004E-2</v>
      </c>
    </row>
    <row r="17" spans="1:26" ht="15.75" thickBot="1">
      <c r="A17" s="259"/>
      <c r="B17" s="306" t="s">
        <v>24</v>
      </c>
      <c r="C17" s="292" t="s">
        <v>590</v>
      </c>
      <c r="D17" s="293">
        <v>0.65</v>
      </c>
      <c r="E17" s="294"/>
      <c r="F17" s="295"/>
      <c r="G17" s="296"/>
      <c r="M17" s="308"/>
      <c r="N17" s="309"/>
      <c r="S17" s="431" t="s">
        <v>581</v>
      </c>
      <c r="T17" s="432"/>
      <c r="U17" s="280">
        <v>9.4000000000000004E-3</v>
      </c>
      <c r="V17" s="284">
        <v>1.0200000000000001E-2</v>
      </c>
      <c r="W17" s="301">
        <v>1.3299999999999999E-2</v>
      </c>
      <c r="X17" s="280">
        <v>7.1400000000000005E-2</v>
      </c>
      <c r="Y17" s="284">
        <v>8.4000000000000005E-2</v>
      </c>
      <c r="Z17" s="282">
        <v>0.1043</v>
      </c>
    </row>
    <row r="18" spans="1:26">
      <c r="A18" s="259"/>
      <c r="B18" s="306" t="s">
        <v>26</v>
      </c>
      <c r="C18" s="292" t="s">
        <v>591</v>
      </c>
      <c r="D18" s="310">
        <v>3</v>
      </c>
      <c r="E18" s="294"/>
      <c r="F18" s="295"/>
      <c r="G18" s="311"/>
    </row>
    <row r="19" spans="1:26" ht="15.75" thickBot="1">
      <c r="A19" s="259"/>
      <c r="B19" s="306" t="s">
        <v>27</v>
      </c>
      <c r="C19" s="292" t="s">
        <v>592</v>
      </c>
      <c r="D19" s="293">
        <v>4.5</v>
      </c>
      <c r="E19" s="294"/>
      <c r="F19" s="295"/>
      <c r="G19" s="290"/>
    </row>
    <row r="20" spans="1:26" ht="15" customHeight="1">
      <c r="A20" s="259"/>
      <c r="B20" s="285">
        <v>3</v>
      </c>
      <c r="C20" s="286" t="s">
        <v>593</v>
      </c>
      <c r="D20" s="312" t="s">
        <v>207</v>
      </c>
      <c r="E20" s="304">
        <f>SUM(E21:E23)</f>
        <v>1.77</v>
      </c>
      <c r="F20" s="295"/>
      <c r="G20" s="290"/>
      <c r="S20" s="444" t="s">
        <v>594</v>
      </c>
      <c r="T20" s="445"/>
      <c r="U20" s="445"/>
      <c r="V20" s="445"/>
      <c r="W20" s="445"/>
      <c r="X20" s="445"/>
      <c r="Y20" s="445"/>
      <c r="Z20" s="446"/>
    </row>
    <row r="21" spans="1:26">
      <c r="A21" s="259"/>
      <c r="B21" s="306" t="s">
        <v>33</v>
      </c>
      <c r="C21" s="292" t="s">
        <v>595</v>
      </c>
      <c r="D21" s="293"/>
      <c r="E21" s="294">
        <v>0.4</v>
      </c>
      <c r="F21" s="295"/>
      <c r="G21" s="290"/>
      <c r="S21" s="447"/>
      <c r="T21" s="448"/>
      <c r="U21" s="448"/>
      <c r="V21" s="448"/>
      <c r="W21" s="448"/>
      <c r="X21" s="448"/>
      <c r="Y21" s="448"/>
      <c r="Z21" s="449"/>
    </row>
    <row r="22" spans="1:26" ht="15.75" thickBot="1">
      <c r="A22" s="259"/>
      <c r="B22" s="306" t="s">
        <v>35</v>
      </c>
      <c r="C22" s="292" t="s">
        <v>596</v>
      </c>
      <c r="D22" s="293"/>
      <c r="E22" s="294">
        <v>0.97</v>
      </c>
      <c r="F22" s="295"/>
      <c r="G22" s="290"/>
      <c r="S22" s="450"/>
      <c r="T22" s="451"/>
      <c r="U22" s="451"/>
      <c r="V22" s="451"/>
      <c r="W22" s="451"/>
      <c r="X22" s="451"/>
      <c r="Y22" s="451"/>
      <c r="Z22" s="452"/>
    </row>
    <row r="23" spans="1:26">
      <c r="A23" s="259"/>
      <c r="B23" s="306" t="s">
        <v>35</v>
      </c>
      <c r="C23" s="292" t="s">
        <v>597</v>
      </c>
      <c r="D23" s="293"/>
      <c r="E23" s="294">
        <v>0.4</v>
      </c>
      <c r="F23" s="295"/>
      <c r="G23" s="290"/>
    </row>
    <row r="24" spans="1:26">
      <c r="A24" s="259"/>
      <c r="B24" s="302"/>
      <c r="C24" s="313"/>
      <c r="D24" s="293"/>
      <c r="E24" s="294"/>
      <c r="F24" s="295"/>
      <c r="G24" s="290"/>
    </row>
    <row r="25" spans="1:26">
      <c r="A25" s="259"/>
      <c r="B25" s="285">
        <v>4</v>
      </c>
      <c r="C25" s="286" t="s">
        <v>598</v>
      </c>
      <c r="D25" s="312" t="s">
        <v>207</v>
      </c>
      <c r="E25" s="304">
        <v>0.64</v>
      </c>
      <c r="F25" s="295"/>
      <c r="G25" s="290"/>
    </row>
    <row r="26" spans="1:26">
      <c r="A26" s="259"/>
      <c r="B26" s="302"/>
      <c r="C26" s="292"/>
      <c r="D26" s="293"/>
      <c r="E26" s="294"/>
      <c r="F26" s="295"/>
      <c r="G26" s="290"/>
    </row>
    <row r="27" spans="1:26">
      <c r="A27" s="259"/>
      <c r="B27" s="285">
        <v>5</v>
      </c>
      <c r="C27" s="286" t="s">
        <v>599</v>
      </c>
      <c r="D27" s="314"/>
      <c r="E27" s="304">
        <v>8</v>
      </c>
      <c r="F27" s="295"/>
      <c r="G27" s="290"/>
    </row>
    <row r="28" spans="1:26" ht="15.75" thickBot="1">
      <c r="A28" s="259"/>
      <c r="B28" s="302"/>
      <c r="C28" s="292"/>
      <c r="D28" s="315"/>
      <c r="E28" s="316"/>
      <c r="F28" s="295"/>
      <c r="G28" s="296"/>
    </row>
    <row r="29" spans="1:26" ht="15.75" thickBot="1">
      <c r="A29" s="259"/>
      <c r="B29" s="317" t="s">
        <v>207</v>
      </c>
      <c r="C29" s="318" t="s">
        <v>600</v>
      </c>
      <c r="D29" s="319" t="s">
        <v>207</v>
      </c>
      <c r="E29" s="320">
        <f>ROUND((((1+(E10%+E21%+E22%+E23%))*(1+E25%)*(1+E27%)/(1-D15%))-(1))*100,2)</f>
        <v>27.71</v>
      </c>
      <c r="F29" s="321"/>
      <c r="G29" s="290"/>
    </row>
    <row r="30" spans="1:26">
      <c r="A30" s="259"/>
      <c r="B30" s="259"/>
      <c r="C30" s="259"/>
      <c r="D30" s="259"/>
      <c r="E30" s="259"/>
      <c r="F30" s="259"/>
      <c r="G30" s="259"/>
    </row>
    <row r="31" spans="1:26" ht="18">
      <c r="A31" s="259"/>
      <c r="B31" s="322"/>
      <c r="C31" s="322"/>
      <c r="D31" s="322"/>
      <c r="E31" s="322"/>
      <c r="F31" s="322"/>
      <c r="G31" s="259"/>
    </row>
    <row r="32" spans="1:26" ht="18">
      <c r="A32" s="259"/>
      <c r="B32" s="453" t="s">
        <v>601</v>
      </c>
      <c r="C32" s="453"/>
      <c r="D32" s="323">
        <f>ROUND((((1+((E10+E20)/100))*(1+E25/100)*(1+E27/100))/(1-D15/100)-1)*100,2)</f>
        <v>27.71</v>
      </c>
      <c r="E32" s="259"/>
      <c r="F32" s="259"/>
      <c r="G32" s="259"/>
    </row>
    <row r="33" spans="1:7">
      <c r="A33" s="259"/>
      <c r="B33" s="454" t="s">
        <v>207</v>
      </c>
      <c r="C33" s="454"/>
      <c r="D33" s="259"/>
      <c r="E33" s="259"/>
      <c r="F33" s="259"/>
      <c r="G33" s="259"/>
    </row>
    <row r="34" spans="1:7">
      <c r="A34" s="259"/>
      <c r="B34" s="439" t="s">
        <v>602</v>
      </c>
      <c r="C34" s="439"/>
      <c r="D34" s="439"/>
      <c r="E34" s="439"/>
      <c r="F34" s="439"/>
      <c r="G34" s="439"/>
    </row>
    <row r="35" spans="1:7">
      <c r="A35" s="259"/>
      <c r="B35" s="259"/>
      <c r="C35" s="259"/>
      <c r="D35" s="259"/>
      <c r="E35" s="259"/>
      <c r="F35" s="259"/>
      <c r="G35" s="259"/>
    </row>
    <row r="36" spans="1:7" ht="15.75">
      <c r="A36" s="259"/>
      <c r="B36" s="324" t="s">
        <v>603</v>
      </c>
      <c r="C36" s="259"/>
      <c r="D36" s="259"/>
      <c r="E36" s="259"/>
      <c r="F36" s="259"/>
      <c r="G36" s="259"/>
    </row>
    <row r="37" spans="1:7" ht="15.75" thickBot="1"/>
    <row r="38" spans="1:7">
      <c r="B38" s="325" t="s">
        <v>604</v>
      </c>
      <c r="C38" s="326"/>
      <c r="D38" s="326"/>
      <c r="E38" s="326"/>
    </row>
  </sheetData>
  <mergeCells count="19">
    <mergeCell ref="B7:B8"/>
    <mergeCell ref="C7:C8"/>
    <mergeCell ref="B34:G34"/>
    <mergeCell ref="S11:T12"/>
    <mergeCell ref="U11:W11"/>
    <mergeCell ref="S17:T17"/>
    <mergeCell ref="S20:Z22"/>
    <mergeCell ref="B32:C32"/>
    <mergeCell ref="B33:C33"/>
    <mergeCell ref="X11:Z11"/>
    <mergeCell ref="S13:T13"/>
    <mergeCell ref="S14:T14"/>
    <mergeCell ref="S15:T15"/>
    <mergeCell ref="S16:T16"/>
    <mergeCell ref="A1:O3"/>
    <mergeCell ref="S3:S4"/>
    <mergeCell ref="T3:V3"/>
    <mergeCell ref="W3:Y3"/>
    <mergeCell ref="Z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zoomScaleNormal="100" workbookViewId="0">
      <selection activeCell="A12" sqref="A12"/>
    </sheetView>
  </sheetViews>
  <sheetFormatPr defaultRowHeight="15"/>
  <cols>
    <col min="1" max="1" width="38.140625" customWidth="1"/>
    <col min="2" max="2" width="12.7109375" bestFit="1" customWidth="1"/>
    <col min="3" max="3" width="5.5703125" bestFit="1" customWidth="1"/>
    <col min="4" max="4" width="11.5703125" bestFit="1" customWidth="1"/>
    <col min="5" max="5" width="4.5703125" bestFit="1" customWidth="1"/>
    <col min="6" max="6" width="11.5703125" bestFit="1" customWidth="1"/>
    <col min="7" max="7" width="5.5703125" bestFit="1" customWidth="1"/>
    <col min="8" max="8" width="11.5703125" bestFit="1" customWidth="1"/>
  </cols>
  <sheetData>
    <row r="1" spans="1:8">
      <c r="A1" s="350" t="s">
        <v>194</v>
      </c>
      <c r="B1" s="350"/>
      <c r="C1" s="351"/>
      <c r="D1" s="352"/>
      <c r="E1" s="351"/>
      <c r="F1" s="352"/>
      <c r="G1" s="351"/>
      <c r="H1" s="352"/>
    </row>
    <row r="2" spans="1:8">
      <c r="A2" s="350"/>
      <c r="B2" s="350"/>
      <c r="C2" s="351"/>
      <c r="D2" s="352"/>
      <c r="E2" s="351"/>
      <c r="F2" s="352"/>
      <c r="G2" s="351"/>
      <c r="H2" s="352"/>
    </row>
    <row r="3" spans="1:8">
      <c r="A3" s="350" t="s">
        <v>688</v>
      </c>
      <c r="B3" s="350"/>
      <c r="C3" s="351"/>
      <c r="D3" s="352"/>
      <c r="E3" s="351"/>
      <c r="F3" s="352"/>
      <c r="G3" s="351"/>
      <c r="H3" s="352"/>
    </row>
    <row r="4" spans="1:8">
      <c r="A4" s="350"/>
      <c r="B4" s="350"/>
      <c r="C4" s="351"/>
      <c r="D4" s="352"/>
      <c r="E4" s="351"/>
      <c r="F4" s="352"/>
      <c r="G4" s="351"/>
      <c r="H4" s="352"/>
    </row>
    <row r="5" spans="1:8">
      <c r="A5" s="350"/>
      <c r="B5" s="350"/>
      <c r="C5" s="351"/>
      <c r="D5" s="352"/>
      <c r="E5" s="351"/>
      <c r="F5" s="352"/>
      <c r="G5" s="351"/>
      <c r="H5" s="352"/>
    </row>
    <row r="6" spans="1:8">
      <c r="A6" s="350" t="s">
        <v>689</v>
      </c>
      <c r="B6" s="350"/>
      <c r="C6" s="351"/>
      <c r="D6" s="352"/>
      <c r="E6" s="351"/>
      <c r="F6" s="352"/>
      <c r="G6" s="351"/>
      <c r="H6" s="352"/>
    </row>
    <row r="7" spans="1:8">
      <c r="A7" s="350"/>
      <c r="B7" s="350"/>
      <c r="C7" s="351"/>
      <c r="D7" s="352"/>
      <c r="E7" s="351"/>
      <c r="F7" s="352"/>
      <c r="G7" s="351"/>
      <c r="H7" s="352"/>
    </row>
    <row r="8" spans="1:8">
      <c r="A8" s="354" t="s">
        <v>610</v>
      </c>
      <c r="B8" s="380" t="s">
        <v>412</v>
      </c>
      <c r="C8" s="455" t="s">
        <v>611</v>
      </c>
      <c r="D8" s="455"/>
      <c r="E8" s="455" t="s">
        <v>681</v>
      </c>
      <c r="F8" s="455"/>
      <c r="G8" s="455" t="s">
        <v>682</v>
      </c>
      <c r="H8" s="455"/>
    </row>
    <row r="9" spans="1:8">
      <c r="A9" s="353" t="str">
        <f>Orçamento!C13</f>
        <v>SERVIÇOS INICIAIS</v>
      </c>
      <c r="B9" s="356">
        <f>Orçamento!H16</f>
        <v>3112.9312499999996</v>
      </c>
      <c r="C9" s="357">
        <v>0.33</v>
      </c>
      <c r="D9" s="358">
        <f>$B9*C9</f>
        <v>1027.2673124999999</v>
      </c>
      <c r="E9" s="357">
        <v>0.33</v>
      </c>
      <c r="F9" s="358">
        <f t="shared" ref="F9" si="0">$B9*E9</f>
        <v>1027.2673124999999</v>
      </c>
      <c r="G9" s="357">
        <v>0.34</v>
      </c>
      <c r="H9" s="358">
        <f t="shared" ref="H9:H22" si="1">$B9*G9</f>
        <v>1058.3966249999999</v>
      </c>
    </row>
    <row r="10" spans="1:8">
      <c r="A10" s="353" t="str">
        <f>Orçamento!C17</f>
        <v>DEMOLIÇÕES</v>
      </c>
      <c r="B10" s="356">
        <f>Orçamento!H22</f>
        <v>757.26921599999991</v>
      </c>
      <c r="C10" s="357">
        <v>1</v>
      </c>
      <c r="D10" s="358">
        <f t="shared" ref="D10:D22" si="2">$B10*C10</f>
        <v>757.26921599999991</v>
      </c>
      <c r="E10" s="357"/>
      <c r="F10" s="358">
        <f t="shared" ref="F10" si="3">$B10*E10</f>
        <v>0</v>
      </c>
      <c r="G10" s="357"/>
      <c r="H10" s="358">
        <f t="shared" si="1"/>
        <v>0</v>
      </c>
    </row>
    <row r="11" spans="1:8">
      <c r="A11" s="353" t="str">
        <f>Orçamento!C23</f>
        <v>PAVIMENTAÇÃO INTERNA</v>
      </c>
      <c r="B11" s="356">
        <f>Orçamento!H28</f>
        <v>70212.339178740003</v>
      </c>
      <c r="C11" s="357">
        <v>0.2</v>
      </c>
      <c r="D11" s="358">
        <f t="shared" si="2"/>
        <v>14042.467835748001</v>
      </c>
      <c r="E11" s="357">
        <v>0.6</v>
      </c>
      <c r="F11" s="358">
        <f t="shared" ref="F11" si="4">$B11*E11</f>
        <v>42127.403507244002</v>
      </c>
      <c r="G11" s="357">
        <v>0.2</v>
      </c>
      <c r="H11" s="358">
        <f t="shared" si="1"/>
        <v>14042.467835748001</v>
      </c>
    </row>
    <row r="12" spans="1:8">
      <c r="A12" s="353" t="str">
        <f>Orçamento!C29</f>
        <v>IMPERMEABILIZAÇÃO</v>
      </c>
      <c r="B12" s="356">
        <f>Orçamento!H31</f>
        <v>296.67032999999998</v>
      </c>
      <c r="C12" s="357">
        <v>1</v>
      </c>
      <c r="D12" s="358">
        <f t="shared" si="2"/>
        <v>296.67032999999998</v>
      </c>
      <c r="E12" s="357"/>
      <c r="F12" s="358">
        <f t="shared" ref="F12" si="5">$B12*E12</f>
        <v>0</v>
      </c>
      <c r="G12" s="357"/>
      <c r="H12" s="358">
        <f t="shared" si="1"/>
        <v>0</v>
      </c>
    </row>
    <row r="13" spans="1:8">
      <c r="A13" s="353" t="str">
        <f>Orçamento!C32</f>
        <v>FORROS</v>
      </c>
      <c r="B13" s="356">
        <f>Orçamento!H35</f>
        <v>42748.206829861498</v>
      </c>
      <c r="C13" s="357"/>
      <c r="D13" s="358">
        <f t="shared" si="2"/>
        <v>0</v>
      </c>
      <c r="E13" s="357">
        <v>0.7</v>
      </c>
      <c r="F13" s="358">
        <f t="shared" ref="F13" si="6">$B13*E13</f>
        <v>29923.744780903045</v>
      </c>
      <c r="G13" s="357">
        <v>0.3</v>
      </c>
      <c r="H13" s="358">
        <f t="shared" si="1"/>
        <v>12824.462048958449</v>
      </c>
    </row>
    <row r="14" spans="1:8">
      <c r="A14" s="353" t="str">
        <f>Orçamento!C36</f>
        <v>REVESTIMENTOS</v>
      </c>
      <c r="B14" s="356">
        <f>Orçamento!H40</f>
        <v>2193.0361199999998</v>
      </c>
      <c r="C14" s="357">
        <v>1</v>
      </c>
      <c r="D14" s="358">
        <f t="shared" si="2"/>
        <v>2193.0361199999998</v>
      </c>
      <c r="E14" s="357"/>
      <c r="F14" s="358">
        <f t="shared" ref="F14" si="7">$B14*E14</f>
        <v>0</v>
      </c>
      <c r="G14" s="357"/>
      <c r="H14" s="358">
        <f t="shared" si="1"/>
        <v>0</v>
      </c>
    </row>
    <row r="15" spans="1:8">
      <c r="A15" s="353" t="str">
        <f>Orçamento!C41</f>
        <v>ESQUADRIAS</v>
      </c>
      <c r="B15" s="356">
        <f>Orçamento!H50</f>
        <v>88670.413111499991</v>
      </c>
      <c r="C15" s="357"/>
      <c r="D15" s="358">
        <f t="shared" si="2"/>
        <v>0</v>
      </c>
      <c r="E15" s="357">
        <v>0.8</v>
      </c>
      <c r="F15" s="358">
        <f t="shared" ref="F15" si="8">$B15*E15</f>
        <v>70936.330489200001</v>
      </c>
      <c r="G15" s="357">
        <v>0.2</v>
      </c>
      <c r="H15" s="358">
        <f t="shared" si="1"/>
        <v>17734.0826223</v>
      </c>
    </row>
    <row r="16" spans="1:8">
      <c r="A16" s="353" t="str">
        <f>Orçamento!C51</f>
        <v>VIDRAÇARIA</v>
      </c>
      <c r="B16" s="356">
        <f>Orçamento!H53</f>
        <v>1593.7186320000001</v>
      </c>
      <c r="C16" s="357"/>
      <c r="D16" s="358">
        <f t="shared" si="2"/>
        <v>0</v>
      </c>
      <c r="E16" s="357"/>
      <c r="F16" s="358">
        <f t="shared" ref="F16" si="9">$B16*E16</f>
        <v>0</v>
      </c>
      <c r="G16" s="357">
        <v>1</v>
      </c>
      <c r="H16" s="358">
        <f t="shared" si="1"/>
        <v>1593.7186320000001</v>
      </c>
    </row>
    <row r="17" spans="1:8">
      <c r="A17" s="353" t="str">
        <f>Orçamento!C54</f>
        <v>INSTALAÇÕES HIDROSSANITÁRIAS</v>
      </c>
      <c r="B17" s="356">
        <f>Orçamento!H81</f>
        <v>59380.590752999982</v>
      </c>
      <c r="C17" s="357">
        <v>0.2</v>
      </c>
      <c r="D17" s="358">
        <f t="shared" si="2"/>
        <v>11876.118150599998</v>
      </c>
      <c r="E17" s="357">
        <v>0.6</v>
      </c>
      <c r="F17" s="358">
        <f t="shared" ref="F17" si="10">$B17*E17</f>
        <v>35628.354451799991</v>
      </c>
      <c r="G17" s="357">
        <v>0.2</v>
      </c>
      <c r="H17" s="358">
        <f t="shared" si="1"/>
        <v>11876.118150599998</v>
      </c>
    </row>
    <row r="18" spans="1:8" ht="27">
      <c r="A18" s="353" t="str">
        <f>Orçamento!C82</f>
        <v>INSTALAÇÕES ELÉTRICAS / TELEFONE</v>
      </c>
      <c r="B18" s="356">
        <f>Orçamento!H146</f>
        <v>143904.74311768054</v>
      </c>
      <c r="C18" s="357">
        <v>0.4</v>
      </c>
      <c r="D18" s="358">
        <f t="shared" si="2"/>
        <v>57561.897247072222</v>
      </c>
      <c r="E18" s="357">
        <v>0.4</v>
      </c>
      <c r="F18" s="358">
        <f t="shared" ref="F18" si="11">$B18*E18</f>
        <v>57561.897247072222</v>
      </c>
      <c r="G18" s="357">
        <v>0.2</v>
      </c>
      <c r="H18" s="358">
        <f t="shared" si="1"/>
        <v>28780.948623536111</v>
      </c>
    </row>
    <row r="19" spans="1:8">
      <c r="A19" s="353" t="str">
        <f>Orçamento!C147</f>
        <v>PINTURA</v>
      </c>
      <c r="B19" s="356">
        <f>Orçamento!H158</f>
        <v>47938.204439680499</v>
      </c>
      <c r="C19" s="357">
        <v>0.1</v>
      </c>
      <c r="D19" s="358">
        <f t="shared" si="2"/>
        <v>4793.8204439680503</v>
      </c>
      <c r="E19" s="357">
        <v>0.5</v>
      </c>
      <c r="F19" s="358">
        <f t="shared" ref="F19" si="12">$B19*E19</f>
        <v>23969.10221984025</v>
      </c>
      <c r="G19" s="357">
        <v>0.4</v>
      </c>
      <c r="H19" s="358">
        <f t="shared" si="1"/>
        <v>19175.281775872201</v>
      </c>
    </row>
    <row r="20" spans="1:8">
      <c r="A20" s="353" t="str">
        <f>Orçamento!C159</f>
        <v>COMPLEMENTARES</v>
      </c>
      <c r="B20" s="356">
        <f>Orçamento!H169</f>
        <v>107842.40299354498</v>
      </c>
      <c r="C20" s="357"/>
      <c r="D20" s="358">
        <f t="shared" si="2"/>
        <v>0</v>
      </c>
      <c r="E20" s="357">
        <v>0.2</v>
      </c>
      <c r="F20" s="358">
        <f t="shared" ref="F20" si="13">$B20*E20</f>
        <v>21568.480598708997</v>
      </c>
      <c r="G20" s="357">
        <v>0.8</v>
      </c>
      <c r="H20" s="358">
        <f t="shared" si="1"/>
        <v>86273.922394835987</v>
      </c>
    </row>
    <row r="21" spans="1:8">
      <c r="A21" s="353" t="str">
        <f>Orçamento!C170</f>
        <v>REDE DE GASES MEDICINAIS</v>
      </c>
      <c r="B21" s="356">
        <f>Orçamento!H182</f>
        <v>146554.19949852003</v>
      </c>
      <c r="C21" s="357">
        <v>0.1</v>
      </c>
      <c r="D21" s="358">
        <f t="shared" si="2"/>
        <v>14655.419949852003</v>
      </c>
      <c r="E21" s="357">
        <v>0.7</v>
      </c>
      <c r="F21" s="358">
        <f t="shared" ref="F21" si="14">$B21*E21</f>
        <v>102587.93964896402</v>
      </c>
      <c r="G21" s="357">
        <v>0.2</v>
      </c>
      <c r="H21" s="358">
        <f t="shared" si="1"/>
        <v>29310.839899704006</v>
      </c>
    </row>
    <row r="22" spans="1:8">
      <c r="A22" s="353" t="str">
        <f>Orçamento!C183</f>
        <v>ADMINISTRAÇÃO LOCAL</v>
      </c>
      <c r="B22" s="356">
        <f>Orçamento!H186</f>
        <v>76769.035199999984</v>
      </c>
      <c r="C22" s="357">
        <v>0.33</v>
      </c>
      <c r="D22" s="358">
        <f t="shared" si="2"/>
        <v>25333.781615999997</v>
      </c>
      <c r="E22" s="357">
        <v>0.33</v>
      </c>
      <c r="F22" s="358">
        <f t="shared" ref="F22" si="15">$B22*E22</f>
        <v>25333.781615999997</v>
      </c>
      <c r="G22" s="357">
        <v>0.34</v>
      </c>
      <c r="H22" s="358">
        <f t="shared" si="1"/>
        <v>26101.471967999998</v>
      </c>
    </row>
    <row r="23" spans="1:8">
      <c r="A23" s="354" t="s">
        <v>412</v>
      </c>
      <c r="B23" s="359">
        <f>SUM(B9:B22)</f>
        <v>791973.76067052735</v>
      </c>
      <c r="C23" s="360"/>
      <c r="D23" s="361">
        <f>SUM(D9:D22)</f>
        <v>132537.74822174027</v>
      </c>
      <c r="E23" s="360"/>
      <c r="F23" s="361">
        <f t="shared" ref="F23" si="16">SUM(F9:F22)</f>
        <v>410664.30187223258</v>
      </c>
      <c r="G23" s="360"/>
      <c r="H23" s="361">
        <f t="shared" ref="H23" si="17">SUM(H9:H22)</f>
        <v>248771.71057655473</v>
      </c>
    </row>
    <row r="24" spans="1:8">
      <c r="A24" s="354" t="s">
        <v>612</v>
      </c>
      <c r="B24" s="355"/>
      <c r="C24" s="360"/>
      <c r="D24" s="361">
        <f>D23</f>
        <v>132537.74822174027</v>
      </c>
      <c r="E24" s="360"/>
      <c r="F24" s="361">
        <f>F23+D24</f>
        <v>543202.05009397282</v>
      </c>
      <c r="G24" s="360"/>
      <c r="H24" s="361">
        <f>H23+F24</f>
        <v>791973.76067052758</v>
      </c>
    </row>
  </sheetData>
  <mergeCells count="3">
    <mergeCell ref="C8:D8"/>
    <mergeCell ref="E8:F8"/>
    <mergeCell ref="G8:H8"/>
  </mergeCells>
  <printOptions horizontalCentered="1"/>
  <pageMargins left="0.9055118110236221" right="0.9055118110236221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Orçamento</vt:lpstr>
      <vt:lpstr>Encargos Sociais</vt:lpstr>
      <vt:lpstr>Composições</vt:lpstr>
      <vt:lpstr>Composições Elétricas</vt:lpstr>
      <vt:lpstr>Cálculo BDI</vt:lpstr>
      <vt:lpstr>Cronograma</vt:lpstr>
      <vt:lpstr>'Cálculo BDI'!Area_de_impressao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massochin</dc:creator>
  <cp:lastModifiedBy>pedro.muller</cp:lastModifiedBy>
  <cp:revision>4</cp:revision>
  <cp:lastPrinted>2022-05-02T13:31:51Z</cp:lastPrinted>
  <dcterms:created xsi:type="dcterms:W3CDTF">2022-02-11T12:40:40Z</dcterms:created>
  <dcterms:modified xsi:type="dcterms:W3CDTF">2022-05-04T16:22:46Z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